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355" tabRatio="839" activeTab="0"/>
  </bookViews>
  <sheets>
    <sheet name="Biz model " sheetId="1" r:id="rId1"/>
    <sheet name="Biz stats" sheetId="2" r:id="rId2"/>
    <sheet name="Checklistbiz" sheetId="3" r:id="rId3"/>
    <sheet name="Checklistother" sheetId="4" r:id="rId4"/>
    <sheet name="Company CA" sheetId="5" r:id="rId5"/>
    <sheet name="Industry analysis" sheetId="6" r:id="rId6"/>
    <sheet name="competition" sheetId="7" r:id="rId7"/>
    <sheet name="Multiple models" sheetId="8" r:id="rId8"/>
    <sheet name="Mngt analysis" sheetId="9" r:id="rId9"/>
    <sheet name="KPI" sheetId="10" r:id="rId10"/>
    <sheet name="Accounting" sheetId="11" r:id="rId11"/>
    <sheet name="dcf" sheetId="12" r:id="rId12"/>
    <sheet name="analysis" sheetId="13" r:id="rId13"/>
    <sheet name="scenarios" sheetId="14" r:id="rId14"/>
    <sheet name="other valuations" sheetId="15" r:id="rId15"/>
    <sheet name="asset valuations" sheetId="16" r:id="rId16"/>
    <sheet name="Notes" sheetId="17" r:id="rId17"/>
  </sheets>
  <definedNames/>
  <calcPr fullCalcOnLoad="1"/>
</workbook>
</file>

<file path=xl/comments1.xml><?xml version="1.0" encoding="utf-8"?>
<comments xmlns="http://schemas.openxmlformats.org/spreadsheetml/2006/main">
  <authors>
    <author>rchauhan</author>
  </authors>
  <commentList>
    <comment ref="A5" authorId="0">
      <text>
        <r>
          <rPr>
            <b/>
            <sz val="8"/>
            <rFont val="Tahoma"/>
            <family val="2"/>
          </rPr>
          <t>(incl AP / Accrued expenses etc)</t>
        </r>
      </text>
    </comment>
  </commentList>
</comments>
</file>

<file path=xl/comments13.xml><?xml version="1.0" encoding="utf-8"?>
<comments xmlns="http://schemas.openxmlformats.org/spreadsheetml/2006/main">
  <authors>
    <author>rchauhan</author>
  </authors>
  <commentList>
    <comment ref="A36" authorId="0">
      <text>
        <r>
          <rPr>
            <b/>
            <sz val="8"/>
            <rFont val="Tahoma"/>
            <family val="2"/>
          </rPr>
          <t>Track ROC when doing senstivity analysis</t>
        </r>
        <r>
          <rPr>
            <sz val="8"/>
            <rFont val="Tahoma"/>
            <family val="2"/>
          </rPr>
          <t xml:space="preserve">
</t>
        </r>
      </text>
    </comment>
  </commentList>
</comments>
</file>

<file path=xl/comments15.xml><?xml version="1.0" encoding="utf-8"?>
<comments xmlns="http://schemas.openxmlformats.org/spreadsheetml/2006/main">
  <authors>
    <author>Employees of</author>
    <author>rohit_chauhan</author>
  </authors>
  <commentList>
    <comment ref="C19" authorId="0">
      <text>
        <r>
          <rPr>
            <sz val="8"/>
            <rFont val="Tahoma"/>
            <family val="2"/>
          </rPr>
          <t xml:space="preserve">Based on normalised earning
</t>
        </r>
        <r>
          <rPr>
            <sz val="8"/>
            <rFont val="Tahoma"/>
            <family val="2"/>
          </rPr>
          <t xml:space="preserve">
</t>
        </r>
      </text>
    </comment>
    <comment ref="A20" authorId="0">
      <text>
        <r>
          <rPr>
            <sz val="8"/>
            <rFont val="Tahoma"/>
            <family val="2"/>
          </rPr>
          <t xml:space="preserve">1. Base this on CAP (normalised )  duration and ROC lower end
</t>
        </r>
      </text>
    </comment>
    <comment ref="A21" authorId="0">
      <text>
        <r>
          <rPr>
            <sz val="8"/>
            <rFont val="Tahoma"/>
            <family val="2"/>
          </rPr>
          <t>(normalised )  duration and ROC higher end</t>
        </r>
        <r>
          <rPr>
            <b/>
            <sz val="8"/>
            <rFont val="Tahoma"/>
            <family val="2"/>
          </rPr>
          <t xml:space="preserve">
</t>
        </r>
      </text>
    </comment>
    <comment ref="C25" authorId="0">
      <text>
        <r>
          <rPr>
            <sz val="8"/>
            <rFont val="Tahoma"/>
            <family val="2"/>
          </rPr>
          <t>Based on normalised PE - imp for cyclical companies</t>
        </r>
      </text>
    </comment>
    <comment ref="L19" authorId="1">
      <text>
        <r>
          <rPr>
            <b/>
            <sz val="8"/>
            <rFont val="Tahoma"/>
            <family val="2"/>
          </rPr>
          <t>Best scenario. All company plans work. Cap is 9 yrs. Tailwind scenario</t>
        </r>
      </text>
    </comment>
    <comment ref="L20" authorId="1">
      <text>
        <r>
          <rPr>
            <b/>
            <sz val="8"/>
            <rFont val="Tahoma"/>
            <family val="2"/>
          </rPr>
          <t>likely scenario. Past continues into the future
CAP is 5 yrs</t>
        </r>
      </text>
    </comment>
    <comment ref="L21" authorId="1">
      <text>
        <r>
          <rPr>
            <b/>
            <sz val="8"/>
            <rFont val="Tahoma"/>
            <family val="2"/>
          </rPr>
          <t>negative scenario. Plans fail. Business cycle down.CAP is 3 yrs</t>
        </r>
      </text>
    </comment>
  </commentList>
</comments>
</file>

<file path=xl/comments3.xml><?xml version="1.0" encoding="utf-8"?>
<comments xmlns="http://schemas.openxmlformats.org/spreadsheetml/2006/main">
  <authors>
    <author>rchauhan</author>
  </authors>
  <commentList>
    <comment ref="A32" authorId="0">
      <text>
        <r>
          <rPr>
            <sz val="8"/>
            <rFont val="Tahoma"/>
            <family val="2"/>
          </rPr>
          <t xml:space="preserve">Any biz capable of this can have fair value of 25+ PE
</t>
        </r>
      </text>
    </comment>
  </commentList>
</comments>
</file>

<file path=xl/comments5.xml><?xml version="1.0" encoding="utf-8"?>
<comments xmlns="http://schemas.openxmlformats.org/spreadsheetml/2006/main">
  <authors>
    <author>rchauhan</author>
    <author>Employees of</author>
  </authors>
  <commentList>
    <comment ref="A25" authorId="0">
      <text>
        <r>
          <rPr>
            <sz val="10"/>
            <rFont val="Tahoma"/>
            <family val="2"/>
          </rPr>
          <t xml:space="preserve">Firm may use the low cost position to prevent new competitor from entering into the market and would look at increasing market share further strenghtening the low cost position due to scale economies. The scale economies would work in advertising, distribution, procurement, production etc
</t>
        </r>
      </text>
    </comment>
    <comment ref="A29" authorId="0">
      <text>
        <r>
          <rPr>
            <sz val="10"/>
            <rFont val="Tahoma"/>
            <family val="2"/>
          </rPr>
          <t>Distinctive capability applied to the target market creates a competitive advantage. This competitive advantage is possible only if the new entrants cannot copy it easily and the incumbent can keep increasing the gap on the factor constantly</t>
        </r>
      </text>
    </comment>
    <comment ref="A23" authorId="0">
      <text>
        <r>
          <rPr>
            <sz val="10"/>
            <rFont val="Tahoma"/>
            <family val="2"/>
          </rPr>
          <t>1. The Brand pull should create prevent the customer from switching to competitor due to price. Else a know brand will not translate to a profitable franchise
2. Strategic assets above can also create entry barrier thus maintaining a profitable franchise</t>
        </r>
      </text>
    </comment>
    <comment ref="A15" authorId="1">
      <text>
        <r>
          <rPr>
            <sz val="8"/>
            <rFont val="Tahoma"/>
            <family val="2"/>
          </rPr>
          <t xml:space="preserve">Cost advantage on supply side
</t>
        </r>
      </text>
    </comment>
    <comment ref="A17" authorId="1">
      <text>
        <r>
          <rPr>
            <sz val="8"/>
            <rFont val="Tahoma"/>
            <family val="2"/>
          </rPr>
          <t>Demand advantage</t>
        </r>
      </text>
    </comment>
  </commentList>
</comments>
</file>

<file path=xl/comments6.xml><?xml version="1.0" encoding="utf-8"?>
<comments xmlns="http://schemas.openxmlformats.org/spreadsheetml/2006/main">
  <authors>
    <author>rchauhan</author>
  </authors>
  <commentList>
    <comment ref="B2" authorId="0">
      <text>
        <r>
          <rPr>
            <sz val="8"/>
            <rFont val="Tahoma"/>
            <family val="2"/>
          </rPr>
          <t>Entry barrier decides level of industry profitability. New / substitute product is also a from of new product / Firm
If it is difficult for a new firm to enter an industry, the profitability is higher and hence the incumbent has a sustainable competitive advantage.</t>
        </r>
      </text>
    </comment>
  </commentList>
</comments>
</file>

<file path=xl/comments7.xml><?xml version="1.0" encoding="utf-8"?>
<comments xmlns="http://schemas.openxmlformats.org/spreadsheetml/2006/main">
  <authors>
    <author>rchauhan</author>
  </authors>
  <commentList>
    <comment ref="D3" authorId="0">
      <text>
        <r>
          <rPr>
            <sz val="8"/>
            <rFont val="Tahoma"/>
            <family val="2"/>
          </rPr>
          <t xml:space="preserve"> (PBDIT/Sales)
</t>
        </r>
      </text>
    </comment>
    <comment ref="O3" authorId="0">
      <text>
        <r>
          <rPr>
            <sz val="8"/>
            <rFont val="Tahoma"/>
            <family val="2"/>
          </rPr>
          <t xml:space="preserve">What is the sales volume of the product/s which are comparable to the company in analysis
</t>
        </r>
      </text>
    </comment>
  </commentList>
</comments>
</file>

<file path=xl/comments8.xml><?xml version="1.0" encoding="utf-8"?>
<comments xmlns="http://schemas.openxmlformats.org/spreadsheetml/2006/main">
  <authors>
    <author>rchauhan</author>
  </authors>
  <commentList>
    <comment ref="A26" authorId="0">
      <text>
        <r>
          <rPr>
            <sz val="8"/>
            <rFont val="Tahoma"/>
            <family val="2"/>
          </rPr>
          <t>1. Does the company have high variable cost. Higher variable cost  means higher marginal cost and hence less eslatic supply curve
2. time take to add capacity. Longer time means long term curve is inelastic and high profits can be maintained</t>
        </r>
      </text>
    </comment>
  </commentList>
</comments>
</file>

<file path=xl/sharedStrings.xml><?xml version="1.0" encoding="utf-8"?>
<sst xmlns="http://schemas.openxmlformats.org/spreadsheetml/2006/main" count="1368" uniqueCount="970">
  <si>
    <t>actual</t>
  </si>
  <si>
    <t>plan</t>
  </si>
  <si>
    <t>detail</t>
  </si>
  <si>
    <t>PBDIT</t>
  </si>
  <si>
    <t xml:space="preserve"> </t>
  </si>
  <si>
    <t>Less :TAX</t>
  </si>
  <si>
    <t>Less : Wcap change</t>
  </si>
  <si>
    <t>Less : Capex</t>
  </si>
  <si>
    <t>shares ( mn)</t>
  </si>
  <si>
    <t>fcff/ share</t>
  </si>
  <si>
    <t>year</t>
  </si>
  <si>
    <t>price</t>
  </si>
  <si>
    <t>no. of shares Mn</t>
  </si>
  <si>
    <t>eps</t>
  </si>
  <si>
    <t>sales</t>
  </si>
  <si>
    <t>mcap/sales</t>
  </si>
  <si>
    <t>wcap</t>
  </si>
  <si>
    <t>wcap % of sales</t>
  </si>
  <si>
    <t>fixed asset</t>
  </si>
  <si>
    <t>depriciation</t>
  </si>
  <si>
    <t>dep %sales</t>
  </si>
  <si>
    <t>% of sales</t>
  </si>
  <si>
    <t>Sales /FA</t>
  </si>
  <si>
    <t>** - capex for maintenance</t>
  </si>
  <si>
    <t>Factor</t>
  </si>
  <si>
    <t>comments</t>
  </si>
  <si>
    <t>RONW</t>
  </si>
  <si>
    <t>Salesgr</t>
  </si>
  <si>
    <t>NP gr</t>
  </si>
  <si>
    <t>NPM</t>
  </si>
  <si>
    <t>Interest cost</t>
  </si>
  <si>
    <t>RM Cost %of sales</t>
  </si>
  <si>
    <t>Fixed assest T.O</t>
  </si>
  <si>
    <t>W cap T.O</t>
  </si>
  <si>
    <t>current ratio</t>
  </si>
  <si>
    <t>$$ - adj for normal capex</t>
  </si>
  <si>
    <t>Intrinsic value estimate</t>
  </si>
  <si>
    <t>Optimistic scenario</t>
  </si>
  <si>
    <t>Neutral scenario</t>
  </si>
  <si>
    <t>Pesimisstic scenario</t>
  </si>
  <si>
    <t>Price</t>
  </si>
  <si>
    <t>Probability</t>
  </si>
  <si>
    <t>Intrinsic value</t>
  </si>
  <si>
    <t>Upper band price</t>
  </si>
  <si>
    <t>Lower band price</t>
  </si>
  <si>
    <t>Upside ( upper - current )</t>
  </si>
  <si>
    <t>Downside ( current - down )</t>
  </si>
  <si>
    <t>* upside / downside</t>
  </si>
  <si>
    <t>Lower limit ( historical )</t>
  </si>
  <si>
    <t>Upper limit ( historical )</t>
  </si>
  <si>
    <t>Sector avg PE</t>
  </si>
  <si>
    <t>times Mkt current PE</t>
  </si>
  <si>
    <t>Valuation  ( neutral )</t>
  </si>
  <si>
    <t>Notes :</t>
  </si>
  <si>
    <t>discount ( 1.15 or 1+ WACC )</t>
  </si>
  <si>
    <t>excpl item &amp; non operating inc.</t>
  </si>
  <si>
    <t>Wacc : weighted cost of capital , g - long term growth / economy growth</t>
  </si>
  <si>
    <t>MICAP calculation</t>
  </si>
  <si>
    <t>capex</t>
  </si>
  <si>
    <t>Operating cost</t>
  </si>
  <si>
    <t>Tax</t>
  </si>
  <si>
    <t>Inc Wcap</t>
  </si>
  <si>
    <t>Inc Wcap % of inc sales</t>
  </si>
  <si>
    <t>Capex as% of sales</t>
  </si>
  <si>
    <t>* compare the current PE with PE of other companies in the same sector</t>
  </si>
  <si>
    <t>** also do a rough comparison of PE with that of other companies in the index</t>
  </si>
  <si>
    <t>screen</t>
  </si>
  <si>
    <t>dep % FA</t>
  </si>
  <si>
    <t>Capex ( Maint )</t>
  </si>
  <si>
    <t>fcff / share ( maint)</t>
  </si>
  <si>
    <t>cash/share</t>
  </si>
  <si>
    <t>Projections</t>
  </si>
  <si>
    <t>Net Profit</t>
  </si>
  <si>
    <t>Interest</t>
  </si>
  <si>
    <t>Terminal value 3</t>
  </si>
  <si>
    <t>terminal value  : note 1</t>
  </si>
  <si>
    <t>1. FCF ( n+1 th year )/ Wacc - g</t>
  </si>
  <si>
    <t>3. Terminal value = current year NOPAT / WACC /(1.15 ^ no. of year)</t>
  </si>
  <si>
    <t>total = terminal value+ cum of value 4</t>
  </si>
  <si>
    <t>4 cum of value = total of discounted fcff till year in question</t>
  </si>
  <si>
    <t>FCFF(Mn) 5</t>
  </si>
  <si>
    <t>5. FCFF adjusted for maintenance capex</t>
  </si>
  <si>
    <t>Less : Capex ( maint) **</t>
  </si>
  <si>
    <t xml:space="preserve">MICAP years </t>
  </si>
  <si>
    <t>current price</t>
  </si>
  <si>
    <t>NPV ( maint)</t>
  </si>
  <si>
    <t>Sales Gr</t>
  </si>
  <si>
    <t>% Gr</t>
  </si>
  <si>
    <t>Current price (buy)</t>
  </si>
  <si>
    <t>disocunt to int price</t>
  </si>
  <si>
    <t>np</t>
  </si>
  <si>
    <t>Total asset T.O</t>
  </si>
  <si>
    <t xml:space="preserve">Capex ( Maint ) % </t>
  </si>
  <si>
    <t>mcap</t>
  </si>
  <si>
    <t>Inv T.O</t>
  </si>
  <si>
    <t>Gain / loss value</t>
  </si>
  <si>
    <t>Economies of Scale</t>
  </si>
  <si>
    <t>Proprietary Product difference</t>
  </si>
  <si>
    <t>Brand Identity</t>
  </si>
  <si>
    <t>Switching cost</t>
  </si>
  <si>
    <t>Capital Requirement</t>
  </si>
  <si>
    <t>Cost Advantage</t>
  </si>
  <si>
    <t>Government Policy</t>
  </si>
  <si>
    <t>Expected Retaliation</t>
  </si>
  <si>
    <t>SUPPLIER POWER</t>
  </si>
  <si>
    <t>Differentiation of input</t>
  </si>
  <si>
    <t>Switching cost of supplier</t>
  </si>
  <si>
    <t>Presence of substitute</t>
  </si>
  <si>
    <t>Supplier Concentration</t>
  </si>
  <si>
    <t>Imp of volume to supplier</t>
  </si>
  <si>
    <t>Cost relative to total purchase</t>
  </si>
  <si>
    <t>Threat of forward v/s Backward integration</t>
  </si>
  <si>
    <t>BUYER POWER</t>
  </si>
  <si>
    <t>Buyer conc. v/s firm concentration</t>
  </si>
  <si>
    <t>Buyer volume</t>
  </si>
  <si>
    <t>Buyer switching cost</t>
  </si>
  <si>
    <t>Buyer information</t>
  </si>
  <si>
    <t>Ability to integrate backward</t>
  </si>
  <si>
    <t>Substitute product</t>
  </si>
  <si>
    <t xml:space="preserve">Price sensitivity </t>
  </si>
  <si>
    <t>Price / Total Purchase</t>
  </si>
  <si>
    <t>Product difference</t>
  </si>
  <si>
    <t>RIVALRY DETERMINANT</t>
  </si>
  <si>
    <t>Industry growth</t>
  </si>
  <si>
    <t>Fixed cost / value added</t>
  </si>
  <si>
    <t>Intermittent overcapacity</t>
  </si>
  <si>
    <t>Informational complexity</t>
  </si>
  <si>
    <t>Exit Barrier</t>
  </si>
  <si>
    <t>Buyer propensity to Subsititute</t>
  </si>
  <si>
    <t>Y/N</t>
  </si>
  <si>
    <t>Y</t>
  </si>
  <si>
    <t>N</t>
  </si>
  <si>
    <t>M</t>
  </si>
  <si>
    <t>L</t>
  </si>
  <si>
    <t>H</t>
  </si>
  <si>
    <t>Remarks</t>
  </si>
  <si>
    <t>Is company increasing the service component</t>
  </si>
  <si>
    <t>Are switching cost high</t>
  </si>
  <si>
    <t>Physcological models</t>
  </si>
  <si>
    <t>Am I framing issues correctly and in different manners - trying to look at situation using varying models</t>
  </si>
  <si>
    <t>Is there a data framing bais - influenced by the way data has been presented.</t>
  </si>
  <si>
    <t>Management factors</t>
  </si>
  <si>
    <t>Have I done probability analysis for all negative factors</t>
  </si>
  <si>
    <t>Am I working with sunk cost mentality - trying to average down the cost</t>
  </si>
  <si>
    <t>Does the management discuss both negative and positives of the company performance candidly .</t>
  </si>
  <si>
    <t>NA</t>
  </si>
  <si>
    <t>Points</t>
  </si>
  <si>
    <t>Med - 2</t>
  </si>
  <si>
    <t>Low, Bad - 1</t>
  </si>
  <si>
    <t>High, Good -3</t>
  </si>
  <si>
    <t>Low CA = &lt; 30</t>
  </si>
  <si>
    <t>Med 30&lt; , &lt;50</t>
  </si>
  <si>
    <t>High CA &gt; 50</t>
  </si>
  <si>
    <t>Does the Business have network effects</t>
  </si>
  <si>
    <t xml:space="preserve">Does the business have a lock in - once the product is bought the tendency to continue is high </t>
  </si>
  <si>
    <t>Am I slow in changing opinion - not responding to negative news</t>
  </si>
  <si>
    <t>Probability / options models</t>
  </si>
  <si>
    <t>Does the industry have high level of change - results in a larger no of real options</t>
  </si>
  <si>
    <t>Does management has capability of identifying and utilising the real options</t>
  </si>
  <si>
    <t>Key CA factor</t>
  </si>
  <si>
    <t>Key Demand Drivers</t>
  </si>
  <si>
    <t>Impact</t>
  </si>
  <si>
    <t>Sell criteria : Imp ( define clear quantitative and qualitative metrics )</t>
  </si>
  <si>
    <t>Recievables TO</t>
  </si>
  <si>
    <t>Positive factors</t>
  </si>
  <si>
    <t>Am I having too much loss aversion - overwieghing negative factor</t>
  </si>
  <si>
    <t>Bais from commitment and consistency tendency - Make this spreadsheet hence committed to buy ?</t>
  </si>
  <si>
    <t>social proof bais - stock being recommended by various analyst</t>
  </si>
  <si>
    <t>Status quo bais - unwilling to sell existing holding ( review discount to intrinsic value and sell based on that )</t>
  </si>
  <si>
    <t>Am I working with Hindsight bais - thinking that fact was obvious beforehand ( check if the -ve factor was noted before hand )</t>
  </si>
  <si>
    <t>Am I too overconfident on the situation - assuming over familiarity , associating positive unrelated feeling, too high wieght to optimistic scenario ( familiarity due to work / association with the industry )</t>
  </si>
  <si>
    <t>False consensus bais : confirmation bais ,selective recall, baised evalution ( check all information against you investment thesis and evalute objectively )</t>
  </si>
  <si>
    <t>Earning gr</t>
  </si>
  <si>
    <t>Tot ret /PE ( between 1-2 )</t>
  </si>
  <si>
    <t xml:space="preserve">Does the company have a strong MKt/Sales organisation </t>
  </si>
  <si>
    <t>Architecture</t>
  </si>
  <si>
    <t>Innovation</t>
  </si>
  <si>
    <t>Reputation</t>
  </si>
  <si>
    <t>Does the industry have high Capital intensity ( sales / FA+NWCA &lt;1.5 )</t>
  </si>
  <si>
    <t>Catalyst</t>
  </si>
  <si>
    <t>Regulatory changes</t>
  </si>
  <si>
    <t>Management action - Buy back, Bonus etc</t>
  </si>
  <si>
    <t>Strategic assets</t>
  </si>
  <si>
    <t>Type</t>
  </si>
  <si>
    <t>Description</t>
  </si>
  <si>
    <t xml:space="preserve">Brands / trademarks </t>
  </si>
  <si>
    <t>Details for the firm</t>
  </si>
  <si>
    <t>Value creation through access to capital market on very favorable terms</t>
  </si>
  <si>
    <t xml:space="preserve">Sale / buying of any asset </t>
  </si>
  <si>
    <t>Asset valuation</t>
  </si>
  <si>
    <t>Net cash ( Debt - cash )</t>
  </si>
  <si>
    <t>Any investment</t>
  </si>
  <si>
    <t>Does the company have a recurring revenue stream</t>
  </si>
  <si>
    <t>Value driver</t>
  </si>
  <si>
    <t>Value factors</t>
  </si>
  <si>
    <t>Sales</t>
  </si>
  <si>
    <t>Sales volume</t>
  </si>
  <si>
    <t>Price and mix</t>
  </si>
  <si>
    <t>Operating margins</t>
  </si>
  <si>
    <t>Trigger</t>
  </si>
  <si>
    <t>Operating leverage</t>
  </si>
  <si>
    <t>Economies of scale</t>
  </si>
  <si>
    <t>Re-investment rate</t>
  </si>
  <si>
    <t>Investment efficiency</t>
  </si>
  <si>
    <t>Asset intensity</t>
  </si>
  <si>
    <t>Change in the business cycle / economic cycle- imp for commodity business</t>
  </si>
  <si>
    <t>R&amp;D / Innovation history /NPD</t>
  </si>
  <si>
    <t>Operational Risk factors</t>
  </si>
  <si>
    <t>Does the company have high demand growth due to
a) growth in exisitng product/ market
b) growth in exisiting product / new market
c) growth in new product / existing market
d) growth in new product / new market</t>
  </si>
  <si>
    <t>What is the earning power of the company through the complete business cycle (level of cyclicality )</t>
  </si>
  <si>
    <t>Other models</t>
  </si>
  <si>
    <t>Any combination of factor effects</t>
  </si>
  <si>
    <t>Have you questioned the consensus</t>
  </si>
  <si>
    <t>What are the key no-brainer questions ?</t>
  </si>
  <si>
    <t>Has the analysis been done with reverse thinking (working the problem forward and backward)</t>
  </si>
  <si>
    <t>DCF Value (Slice 3)</t>
  </si>
  <si>
    <t>Total</t>
  </si>
  <si>
    <t>Total (average)</t>
  </si>
  <si>
    <t>Grand Total average</t>
  </si>
  <si>
    <t>Depriciation (% of sales)</t>
  </si>
  <si>
    <t>FCF (% of sales)</t>
  </si>
  <si>
    <t>What is the compensation levels in the co. Is the CEO/owner being compensated heavily (cash or options?)</t>
  </si>
  <si>
    <t>Does the management / CEO have substantial ownership in the company ?</t>
  </si>
  <si>
    <t>Cost</t>
  </si>
  <si>
    <t>Strong Balance sheet</t>
  </si>
  <si>
    <t>Does the company have high concentration of sales with few customers</t>
  </si>
  <si>
    <t>Checklist</t>
  </si>
  <si>
    <t>Biomodels</t>
  </si>
  <si>
    <t>Will the business survive/adapt into a niche or is it a dominant player</t>
  </si>
  <si>
    <t>Industry concentration</t>
  </si>
  <si>
    <r>
      <t xml:space="preserve">Company specific Key variables </t>
    </r>
    <r>
      <rPr>
        <b/>
        <sz val="10"/>
        <rFont val="Tahoma"/>
        <family val="2"/>
      </rPr>
      <t>(Important and knowable/predictable)</t>
    </r>
  </si>
  <si>
    <t>Unexpected earnings increase</t>
  </si>
  <si>
    <t>(value - Poor management not interested in enhancing value)</t>
  </si>
  <si>
    <t>Driver</t>
  </si>
  <si>
    <t>Influenced by</t>
  </si>
  <si>
    <t>Earnings in depressed scenario</t>
  </si>
  <si>
    <t>Earnings in optimistic scenario</t>
  </si>
  <si>
    <t>Normalised Earnings</t>
  </si>
  <si>
    <t>Normalised PE</t>
  </si>
  <si>
    <t>Does the business have practise evolution</t>
  </si>
  <si>
    <t>Hidden assets</t>
  </si>
  <si>
    <t>Does the company have subsidiary which are carried at cost and is worth more</t>
  </si>
  <si>
    <t>Does the company has real estate which is at cost and worth more</t>
  </si>
  <si>
    <t>Does the company have investments which are worth more than the cost</t>
  </si>
  <si>
    <t>Incorrect / low weightage of existing/ new  negative information or even positive information</t>
  </si>
  <si>
    <t>Is sales got through liberal financing - AR is increasing as % of sales</t>
  </si>
  <si>
    <t>Are earning managed by modifying reservers/ special charges ? - Retained earnings &gt; increase in book value</t>
  </si>
  <si>
    <t>Is the business model becoming less asset intensive and increasing the ROC</t>
  </si>
  <si>
    <t>ENTRY BARRIER - No. 1 Factor for Competitive advantage analysis</t>
  </si>
  <si>
    <t xml:space="preserve">Barriers to entry
</t>
  </si>
  <si>
    <t xml:space="preserve">Enduring Low cost position 
</t>
  </si>
  <si>
    <t>Drivers</t>
  </si>
  <si>
    <t>Switching costs</t>
  </si>
  <si>
    <t>1. Switching cost to other supplier
2. Network effect - benefits are high in the current network ( like telecom , e-mails, e-bay etc)</t>
  </si>
  <si>
    <t>Analysis for the company</t>
  </si>
  <si>
    <t>Distribution network / Customer relationships / plant / license monopoly / natural reserve /Patents / Media Properties/ Network effects / Switching costs</t>
  </si>
  <si>
    <t>Enduring Low Cost position</t>
  </si>
  <si>
    <t>Finanical strength</t>
  </si>
  <si>
    <t>List of the  drivers/ factors (internal / external ) for the Superior Economic returns ( ROE &gt; 15 % )</t>
  </si>
  <si>
    <t>The Industry structure helps in identifying the critical competitive factors which have to be managed to create a sustainable CA</t>
  </si>
  <si>
    <t xml:space="preserve">Relationships with all stakeholder / systems / process / Knowledge base </t>
  </si>
  <si>
    <t>Munger Model</t>
  </si>
  <si>
    <t>5.Properly consider results from a combination of factors or lollapalooza effects</t>
  </si>
  <si>
    <t>Can the company increase prices freely ahead of inflation/ Does it have untapped pricing power ( VV IMP )</t>
  </si>
  <si>
    <t>Expected return without PE expansion</t>
  </si>
  <si>
    <t>Normalised earnings calculation</t>
  </si>
  <si>
    <t>Comments</t>
  </si>
  <si>
    <t>Earning yield (latest)</t>
  </si>
  <si>
    <t>PE values</t>
  </si>
  <si>
    <t>Normalised earnings based valuation</t>
  </si>
  <si>
    <t>Earnings</t>
  </si>
  <si>
    <t>Normalised PE based valuation</t>
  </si>
  <si>
    <t>PE comparison based valution</t>
  </si>
  <si>
    <t>Government/ Regulation based advantage</t>
  </si>
  <si>
    <t>1. License
2. Tariff / quota/ regulation</t>
  </si>
  <si>
    <t>Asset specificity</t>
  </si>
  <si>
    <t>Distribution strength</t>
  </si>
  <si>
    <t>Production scale</t>
  </si>
  <si>
    <t>Anticipated payoff for new entrant</t>
  </si>
  <si>
    <t>Precommitment contracts</t>
  </si>
  <si>
    <t>Learning curve barriers</t>
  </si>
  <si>
    <t>Network effect advantages of incumbents</t>
  </si>
  <si>
    <t>Demand variability</t>
  </si>
  <si>
    <t>Analysis of Distinctive capability  for the firm</t>
  </si>
  <si>
    <t>Knowledge economy models (creating consumer advantage)</t>
  </si>
  <si>
    <t>ROC</t>
  </si>
  <si>
    <t>Shift of demand/supply to favor company ( relevant more for commodity company )</t>
  </si>
  <si>
    <t>Asset conversion - buyback / LBO/De-merger/Accquisitions - critical if the business is a holding company or reason for buying is discount to asset</t>
  </si>
  <si>
    <t>Time - Catalyst if self assesment of CAP is higher than market. With time market realises the higher CAP and will give higher valuation</t>
  </si>
  <si>
    <t>Dividend ratio (DPS/EPS)</t>
  </si>
  <si>
    <t>% of PBT</t>
  </si>
  <si>
    <t>EPS</t>
  </si>
  <si>
    <t>TA</t>
  </si>
  <si>
    <t>No growth value (NOPAT/WACC)- Slice 2</t>
  </si>
  <si>
    <t>Asset = NFA (reproduction cost) + WCAP</t>
  </si>
  <si>
    <t>Total asset (Slice 1) = Asset + Investment + Net cash (or reduce debt ) - Any off balance sheet liability</t>
  </si>
  <si>
    <t>If slice 1 &gt;= Slice 2</t>
  </si>
  <si>
    <t>No competitive advantage</t>
  </si>
  <si>
    <t>competitive advantage</t>
  </si>
  <si>
    <t>If slice 2 &gt; Slice ( check the EVA / sales % )</t>
  </si>
  <si>
    <t>Slice 3 - slice 2 represents the value of growth of the excess return over cost of capital</t>
  </si>
  <si>
    <t>Equity value / share : note 2</t>
  </si>
  <si>
    <t>2. Equity value = IV - ( LTD+STD-cash - cash equivalent ) + Non operating asset- ESOP value - contingent liability</t>
  </si>
  <si>
    <t>Industry mapping</t>
  </si>
  <si>
    <t>Key segments</t>
  </si>
  <si>
    <t>Key companies in each segment</t>
  </si>
  <si>
    <t>Test of competitive advantage</t>
  </si>
  <si>
    <t>1. Process economies (resulting in lower cost of production for incumbent)
a. Indivisibility lead economies
b.complex , linked activities
c. learning curve process cost
d. patent/ copyright/ R&amp;D  advantage
e. resource uniqueness</t>
  </si>
  <si>
    <t>Strong competitive advantages create entry barriers for incumbents, preventing entry of competition and enables incumbents to earn high returns</t>
  </si>
  <si>
    <t>1. Scale economies
a. In demand
b. Distribution
c. purchasing
d.production
e. R&amp;D 
f. Informational economies of scale such as in advertising would give prevent new competitor</t>
  </si>
  <si>
    <t>Franchise Analysis - Competitive advantage analysis ( part repeat of the previous table ) only to be read again</t>
  </si>
  <si>
    <t>Distinctive capability analysis applied to specific market (product or geographic create the customer based or production based advantages</t>
  </si>
  <si>
    <t>Tax % of PBT</t>
  </si>
  <si>
    <t>Read AR/ Google to answer questions on various models</t>
  </si>
  <si>
    <t>Sales/ TA</t>
  </si>
  <si>
    <t>salary as % of sales</t>
  </si>
  <si>
    <t>related party transaction - are they harmful to the co ( rights offer, sale of promoter owned ventures to the company at high price)</t>
  </si>
  <si>
    <t>Tax as a % of PBT ( is it too low , &lt; 15%, why ?)</t>
  </si>
  <si>
    <t>Depreciation</t>
  </si>
  <si>
    <t>Profit growth</t>
  </si>
  <si>
    <t>Capex added</t>
  </si>
  <si>
    <t>Net capex</t>
  </si>
  <si>
    <t>ROI in capex</t>
  </si>
  <si>
    <t>ROI on net capex</t>
  </si>
  <si>
    <t>Hidden liability</t>
  </si>
  <si>
    <t>Forex/ derivative liability</t>
  </si>
  <si>
    <t>ESOP liability</t>
  </si>
  <si>
    <t>Pension liability</t>
  </si>
  <si>
    <t>Other questions</t>
  </si>
  <si>
    <t>Based on DCF what factors would improve the CAP and growth further</t>
  </si>
  <si>
    <t>Based on DCF what factors will cause a deterioration in performance</t>
  </si>
  <si>
    <t>Topline growth</t>
  </si>
  <si>
    <t>Interest income as % of cash</t>
  </si>
  <si>
    <t>Is the cash held in foreign banks ?</t>
  </si>
  <si>
    <t>Interest income as % of cash (looks correct ?)</t>
  </si>
  <si>
    <t>do the provident fund charges look correct (PF amount / employee - compare with other companies</t>
  </si>
  <si>
    <t>Net cash from ops/ net profit</t>
  </si>
  <si>
    <t>Valuation and growth</t>
  </si>
  <si>
    <t>Competition</t>
  </si>
  <si>
    <t>Business economics</t>
  </si>
  <si>
    <t>Does the company have &gt; 0.7 times debt (unless it is a bank / finance institution)</t>
  </si>
  <si>
    <t>Will the company be able to finance/ renew the debt without equity dilution or bankruptcy</t>
  </si>
  <si>
    <t>Does the company sell @ PE &gt;20</t>
  </si>
  <si>
    <t>No</t>
  </si>
  <si>
    <t>Is there only 5 years of history of good performance, i.e is there insufficient past history of performance</t>
  </si>
  <si>
    <t>Does the management make more than 3% of net profit as salary</t>
  </si>
  <si>
    <t>Will the company being analysed be impacted in terms of fundamentals and price by fairly same factors as other ideas in the portfolio</t>
  </si>
  <si>
    <t>General</t>
  </si>
  <si>
    <t>Do all the stakeholders of the company benefit or is the company predatory with some stakeholder, for ex: selling credit to poor customers</t>
  </si>
  <si>
    <t>Does the company operate in a business with poor ROE, high competiton, low barriers to entry and typical commodity economics - i.e does it have sustainable competitive advantage</t>
  </si>
  <si>
    <t>Overhead %</t>
  </si>
  <si>
    <t>Manpower cost</t>
  </si>
  <si>
    <t>none</t>
  </si>
  <si>
    <t>High</t>
  </si>
  <si>
    <t>FCFF- normal $$</t>
  </si>
  <si>
    <t>Does the industry have a history of intense competition in the past ?</t>
  </si>
  <si>
    <t>Are the NPM and Return on capital numbers comparable with other companies in the sector, if not why ?</t>
  </si>
  <si>
    <t xml:space="preserve">Does the company have customer or production advantage
- analyse ROC and check if Margins &gt; 10% of Asset turns in excess of 1.
- If high margins, in excess of 10-12% then customer advantage, if high asset turns then production advantage. If both are high then both advantage. </t>
  </si>
  <si>
    <t>Low entry / exits ?</t>
  </si>
  <si>
    <t>Source of competivite advantage - production advantage / customer advantage factors</t>
  </si>
  <si>
    <t xml:space="preserve">Production advantage factors
- resulting in moat (cost based advantages). Weaker than customer based advantages expect in case of patents or government regulation (like licenses ).
- indicator is high asset turns </t>
  </si>
  <si>
    <t>Customer advantage - creates more durable competitive advantage
- more common, indicator is high margins</t>
  </si>
  <si>
    <t>Is company gaining share in the industry profitably</t>
  </si>
  <si>
    <t>Business model checklist</t>
  </si>
  <si>
    <t>Does the industry have good economics - a) High return on capital , Less price wars, barriers to entry. Chk industry returns for last 10 years and see if the indsutry returns have been high or characterised by high competition</t>
  </si>
  <si>
    <t>Does the industry have scale - characterised by large competitors or a large no. of small firm and intense competition - indicator of low Fixed cost and hence lower competitive advantage</t>
  </si>
  <si>
    <t>Is the industry  RM intensive / sensitive ( 40-50 % ) total cost and hence has low Variable costs - hence high operating leverage ?</t>
  </si>
  <si>
    <t>Does the industry have a high degree of change and obsolesence ?</t>
  </si>
  <si>
    <t>Describe how the company operates as part of the ecosystem - dominant firm or small firm in a niche ?</t>
  </si>
  <si>
    <t>Are they regulatory or technology shifts happening in the industry which will migrate value to a different set of industry participants ? Does it impact the company ?</t>
  </si>
  <si>
    <t>competitior names</t>
  </si>
  <si>
    <t>D/E</t>
  </si>
  <si>
    <t>Profit Gr</t>
  </si>
  <si>
    <t>NP - CY</t>
  </si>
  <si>
    <t>Sales - CY</t>
  </si>
  <si>
    <t>% share of industry</t>
  </si>
  <si>
    <t>FA turns</t>
  </si>
  <si>
    <t>Wcap turns</t>
  </si>
  <si>
    <t>OPM</t>
  </si>
  <si>
    <t>Analysis of performance</t>
  </si>
  <si>
    <t>ROE</t>
  </si>
  <si>
    <t>FCF/ sales (%)</t>
  </si>
  <si>
    <t>Are the net margins higher than competition ? Why ?</t>
  </si>
  <si>
    <t>Is the Company a Low cost producer or among low cost producers (especially commodity ), if yes why ?</t>
  </si>
  <si>
    <t>Is the company strengthening its CA, if yes - how ?</t>
  </si>
  <si>
    <t>Is the company reducing the amount of capital invested ? i.e is the company freeing up capital or increasing FCF</t>
  </si>
  <si>
    <t>Does the company have investment which are expensed such as Advtg, R&amp;D. how effective have been these 'investments'</t>
  </si>
  <si>
    <t>Has the management done accquisitions in the past ? What is the track record of these accquisitions ?</t>
  </si>
  <si>
    <t>Has the management done restructuring and taken such charges on a regular basis ?</t>
  </si>
  <si>
    <t>Does the business have intangible assets - brands, trademarks, patents, customer relationship etc ?</t>
  </si>
  <si>
    <t>FCCB borrowing resulting in dilution (Indian companies)</t>
  </si>
  <si>
    <t>Any MTM losses on the balance sheet or 'Shareholder' equity statements ? Due to derivative instruments</t>
  </si>
  <si>
    <t>Equity dilution via FCCB</t>
  </si>
  <si>
    <t>What is the % of non core income (other than operations). Is it more than 10%, does it look fishy ?</t>
  </si>
  <si>
    <t>1. Solve the big no brainer points in the thesis - find the key points of the idea which define success/ failure for the idea</t>
  </si>
  <si>
    <t>2. Use math to support the reasoning the supporting/ opposing points for the idea</t>
  </si>
  <si>
    <t>3. Think the problem forwards and backwards - find causes which will cause the company to fail</t>
  </si>
  <si>
    <t>4. Use multidisciplinary approach - analyse the idea based on models on this page. Any specific models point to a hidden factor not being considered and can cause it to fail ?</t>
  </si>
  <si>
    <t>Is the loan and advances too high and growing year on year ?</t>
  </si>
  <si>
    <t>PE based valuations (based on observed probabilities - price action)</t>
  </si>
  <si>
    <t>Subjective Probablility based valuations</t>
  </si>
  <si>
    <t>current odds based on past price behavior</t>
  </si>
  <si>
    <t>Expected value</t>
  </si>
  <si>
    <t>Is the company getting impacted or will get impacted by low cost imports ?</t>
  </si>
  <si>
    <t>Is the debt non-recourse or recourse ?</t>
  </si>
  <si>
    <t>What is the management track record in the last 10 yrs ? Have they followed through on their statements in the past ? How is their execution track record</t>
  </si>
  <si>
    <t>Does the company need borrowed money for funding a critical aspect of the business ?</t>
  </si>
  <si>
    <t>price - low</t>
  </si>
  <si>
    <t>Price - high</t>
  </si>
  <si>
    <t>p/e - low</t>
  </si>
  <si>
    <t>p/e - high</t>
  </si>
  <si>
    <t>Does the company lease product on financial / operating leases on market terms ?</t>
  </si>
  <si>
    <t>chk for losses in the loan portfolio (banks)</t>
  </si>
  <si>
    <t>Has the management been reprimanded by SEBI or other bodies. Does the management has bad governance history with other firms ? (check watchoutinvestors.com)</t>
  </si>
  <si>
    <t>Contigent liability as % of Net worth and annual profit (concern ?)</t>
  </si>
  <si>
    <t>What is the % of installed capacity being used ? Will the company require substantial capex ?</t>
  </si>
  <si>
    <t>Has the management been reprimanded by SEBI or other such govt bodies ? Does they have any past cases or issues in other companies ? - check google and stock boards such as moneycontrol , TED etc</t>
  </si>
  <si>
    <t>High debt level</t>
  </si>
  <si>
    <t>Cyclical high in terms of margin</t>
  </si>
  <si>
    <t>Failure analysis (list factors which will cause the company/idea to fail) - describe</t>
  </si>
  <si>
    <t>Management competency</t>
  </si>
  <si>
    <t>Current Mcap</t>
  </si>
  <si>
    <t>Checklist - Is the ROI greater than WACC</t>
  </si>
  <si>
    <t>Checklist - Is current Mcap below or at growth value ?</t>
  </si>
  <si>
    <t xml:space="preserve">debt/equity </t>
  </si>
  <si>
    <t>Does the management have aggressive pension accounting ? (% of income, per employee)</t>
  </si>
  <si>
    <t>Am I working with recency bais - giving more wieght to recent data ( check if the projections based on recent data or averages / look at 10-12 yrs data)</t>
  </si>
  <si>
    <t>Can the company grow @ 15%+ and maintain ROE in excess of 20% for next 10 yrs ?</t>
  </si>
  <si>
    <t>Does the company have average ROE above WACC for last 10 yrs ?</t>
  </si>
  <si>
    <t>Does the current valuation assume growth in excess of the past or the same as past above average growth ?</t>
  </si>
  <si>
    <t>Does the company enjoy entry barriers to maintain high growth and high ROE ?</t>
  </si>
  <si>
    <t>Does the company have an management which has worked against shareholder interests in the past ?</t>
  </si>
  <si>
    <t>Company classification</t>
  </si>
  <si>
    <t>Is the company a slow growing company with high competitive advantage - returns to come from valuation gap closing ?</t>
  </si>
  <si>
    <t>Is the company a cyclical stock currently cheap due to down turn - returns to come from cycle upturn in the commodity ?</t>
  </si>
  <si>
    <t>Is the company a moderately priced mid/small cap with decent biz model and competitive advantage - returns to come from growth and high ROE?</t>
  </si>
  <si>
    <t>Is the company a sector/ market leader suffering from temporary biz or sector specific distress - returns to come from market recognizing true value of company and sector ?</t>
  </si>
  <si>
    <t>Is the company a cheap, graham like stock (extremely cheap by PE, asset based valuation) - returns to come from valuation gap closure ?</t>
  </si>
  <si>
    <t>FA Capex ( % of sales)</t>
  </si>
  <si>
    <t>Wcap capex (% sales)</t>
  </si>
  <si>
    <t>Sales (volume)</t>
  </si>
  <si>
    <t>Interest % of debt</t>
  </si>
  <si>
    <t>No. of shares (adjust for options dilution)</t>
  </si>
  <si>
    <t>Less : Pension liability/ share</t>
  </si>
  <si>
    <t>Add :Net cash/ share (excluding debt)</t>
  </si>
  <si>
    <t>Less : Options cost (post tax)</t>
  </si>
  <si>
    <t>Chklist : Check for underfunded pension plans</t>
  </si>
  <si>
    <t>Chklist : Check for comprehensive income losses which may come up later</t>
  </si>
  <si>
    <t>Total Capex % of sales</t>
  </si>
  <si>
    <t>Depreciation %/ Capex %</t>
  </si>
  <si>
    <t>Details</t>
  </si>
  <si>
    <t>Will the company succeed by out competing others in a narrow or broad segment ?</t>
  </si>
  <si>
    <t>Will the company succeed by co-operating with others in the same or complementry ecosystems ?</t>
  </si>
  <si>
    <t>Are there one or two key variables, which if focussed by management will account for a major success of the business ?</t>
  </si>
  <si>
    <t>Execution filters</t>
  </si>
  <si>
    <t>What is the price and volume action of the stock ?</t>
  </si>
  <si>
    <t>Are there any short term : 3-6 month events which will drive the price up or down ?</t>
  </si>
  <si>
    <t>Remarks (go beyond low moderate and high and give explaination for each point)</t>
  </si>
  <si>
    <r>
      <t xml:space="preserve">Future dilutions due to ESOP (evaluate adjust - important for Tech companies)
</t>
    </r>
    <r>
      <rPr>
        <sz val="10"/>
        <color indexed="10"/>
        <rFont val="Tahoma"/>
        <family val="2"/>
      </rPr>
      <t>Calculate annual dilution % for impact on fair value (see MSFT example)</t>
    </r>
  </si>
  <si>
    <t xml:space="preserve">Check in detail MTM and derivative accounting (especially for companies with large export sales) </t>
  </si>
  <si>
    <t>Any critical qualifications by the auditors ?</t>
  </si>
  <si>
    <t>Check if the accounting has changed during topline and bottom line slowdowns in the past ?</t>
  </si>
  <si>
    <t>Sales revenue accounting (topline)</t>
  </si>
  <si>
    <t xml:space="preserve">Expense accounting </t>
  </si>
  <si>
    <t>Options accounting</t>
  </si>
  <si>
    <t>Pension accounting</t>
  </si>
  <si>
    <t>Tax accounting</t>
  </si>
  <si>
    <t>Consolidation accounting</t>
  </si>
  <si>
    <t>Asset / Liability accounts</t>
  </si>
  <si>
    <t>Others</t>
  </si>
  <si>
    <t>Have the auditors been changed in the last 5 years. If yes, why ?</t>
  </si>
  <si>
    <t>Are the auditors a reputed firm, or is it a small unknown company. Chk on their background</t>
  </si>
  <si>
    <t>Derivative accounting</t>
  </si>
  <si>
    <t>Cash flow accounting (update from cash flow accounting book)</t>
  </si>
  <si>
    <t>Does the company have a weak business unit which will destroy the value of the rest of company in due time ?</t>
  </si>
  <si>
    <t>Chklist : Check what % of annual profit (&gt; 50% is a risk)</t>
  </si>
  <si>
    <t>Chklist : Terminal value should be less 14 times FCF + excess capital</t>
  </si>
  <si>
    <t>Less : Contingent liability/share</t>
  </si>
  <si>
    <t>Less : MTM losses not recognized/ share</t>
  </si>
  <si>
    <t>Investment + cash</t>
  </si>
  <si>
    <t>Chklist : Chk if the net profit excludes income from excess cash</t>
  </si>
  <si>
    <t>Less : Debt/ share</t>
  </si>
  <si>
    <t>Current</t>
  </si>
  <si>
    <t>Capital usage efficiency Computation for 5 yrs</t>
  </si>
  <si>
    <t>Is sales booked agressively ?
- recording revenue before completing obligation
- Recording revenue in excess of work completed
- recording revenue when payment is still uncertain</t>
  </si>
  <si>
    <t>Has the company changed revenue recognition policy which has increased revenue and growth in the recent past</t>
  </si>
  <si>
    <t>Does company use percentage of completion accounting although its industry does not</t>
  </si>
  <si>
    <t>Has the company start capitalizing new expenses in the last 2-3 years. Chk if there is an increase as % of sales in AR, inventory or some other non PPA asset account?</t>
  </si>
  <si>
    <t>For tech companies - check the software capitalization policy. Is the asset for the software capitalization increasing as % of sales in the last 5 years ?</t>
  </si>
  <si>
    <t>Does the company consider a high residual value in a lease arrangement (check with average of others in the industry)</t>
  </si>
  <si>
    <t>Does the company record revenue for shipments to distributors ?</t>
  </si>
  <si>
    <t>Does the company have a high returns % of sales ?</t>
  </si>
  <si>
    <t>Does the company record too much upfront revenue on long term contracts ?</t>
  </si>
  <si>
    <t>Has the revenue recognition policy been changed and revenue growth changed as a result ?</t>
  </si>
  <si>
    <t>Does the company record revenue with parties where there isnt an arm's length distance ? Is it to a related party, JV or affiliated party ?</t>
  </si>
  <si>
    <t>Recording cash from a lender, partner or vendor as revenue ?</t>
  </si>
  <si>
    <t>Use of an appropriate or unusual revenue recognition policy ?</t>
  </si>
  <si>
    <t>Does the company consider grossed up revenue instead of net revenue (like the priceline case)</t>
  </si>
  <si>
    <t>Unusual increase or decrease in liability reserve account ?</t>
  </si>
  <si>
    <t>Has the income been boosted by a one time event ?</t>
  </si>
  <si>
    <t>Does the company take too many restructuring changes frequently and report it below the line ?</t>
  </si>
  <si>
    <t>Does the company record proceeds from selling a biz into revenue ?</t>
  </si>
  <si>
    <t>Analyse the JV accounting closely ?</t>
  </si>
  <si>
    <t>Economics models - general</t>
  </si>
  <si>
    <t>Economics models - demand/ supply and cost curves</t>
  </si>
  <si>
    <t>Does the Industry has a low marginal cost ?</t>
  </si>
  <si>
    <t>Does the Industry have high fixed cost</t>
  </si>
  <si>
    <t>How does the company's marginal cost compare with the best in industry?</t>
  </si>
  <si>
    <t>How does the Average total cost of the company compare with the best in the industry?</t>
  </si>
  <si>
    <t>How much will the current price have to drop for the company to lose money at operating level (related to variable cost)</t>
  </si>
  <si>
    <t>Has the company made above cost of capital ROE over a complete business cycle ?</t>
  </si>
  <si>
    <t>Factors to track to know if company doing well - add factors crucial to the industry</t>
  </si>
  <si>
    <t>Are the payment terms more generous than competition ?</t>
  </si>
  <si>
    <t>Does the management use a revenue recognition approach which is different from others in industry ?</t>
  </si>
  <si>
    <t>Does the management show one time event as revenue ?</t>
  </si>
  <si>
    <t>Does management record restructuring charges regularly - every year for last 5-7 yrs?</t>
  </si>
  <si>
    <t>Does the management shift losses to discountinued operations ?</t>
  </si>
  <si>
    <t>Does the management missclassify investing or financing cash flow into the operating sectio to boost operating cash flows ?</t>
  </si>
  <si>
    <t>Has management improperly classified normal operating expenses ?</t>
  </si>
  <si>
    <t>Has the capitalization policy changes or accelerated ?</t>
  </si>
  <si>
    <t>Are they new asset account, sudden increase in soft assets relative to sales ?</t>
  </si>
  <si>
    <t>Sudden increase in capex ?</t>
  </si>
  <si>
    <t>Amortizting or depreciating costs (related assets) too slowly ?</t>
  </si>
  <si>
    <t>Failure to record expense of imparied assets - such as AR, loan accounts etc ?</t>
  </si>
  <si>
    <t>Jump in inventory as % of sales (chk inventory turns)</t>
  </si>
  <si>
    <t>Decrease in loan loss reserves for credit loss (% of loans and as % of bad loans)</t>
  </si>
  <si>
    <t>Decrease in obsolesence or bad debt expense (critical for banks) ?</t>
  </si>
  <si>
    <t>Unusual decrease in reserve for warranty or warranty expenses ?</t>
  </si>
  <si>
    <t>Decrease accuruals, reserves, or soft liability accounts ?</t>
  </si>
  <si>
    <t>Has the management repriced options in the past ?</t>
  </si>
  <si>
    <t>Options grant as a % of O/s shares - is it greater than 1% p.a ?</t>
  </si>
  <si>
    <t>Failing to highlight off balancesheet  obligations ?</t>
  </si>
  <si>
    <t>Does management has aggressive pension asset assumptions (expected return &gt; 7-8%?)</t>
  </si>
  <si>
    <t>Has the management taken down the pension return rates based on low market returns in the past 2-3 yrs?</t>
  </si>
  <si>
    <t xml:space="preserve">Does the company has a large pension income (@ &gt; 5% of the reported net income?) </t>
  </si>
  <si>
    <t>Has management created large reserves (write offs, bad debt, accquisition related etc) to release later into revenue ?</t>
  </si>
  <si>
    <t>Has the management held back revenue before accquisition? See proforma growth for before period and after period - has it increased a lot?</t>
  </si>
  <si>
    <t>Sudden increase or decline in deffered revenue ? Why?</t>
  </si>
  <si>
    <t>Has the management aggresively written off expenses, created reserves well in excess of required and then released them in future ?</t>
  </si>
  <si>
    <t>Large write off on arrival of a new CEO ?</t>
  </si>
  <si>
    <t>Large writeoffs before accquisitions ?</t>
  </si>
  <si>
    <t>Gross margin increase after inventory write offs ?</t>
  </si>
  <si>
    <t>Has the management recorded bank borrowing as cash inflow ?</t>
  </si>
  <si>
    <t>Has the management boosted cash flow by selling recievables, with recourse or by financial recievables (bank notes?)</t>
  </si>
  <si>
    <t>Has the disclosure details been changed or reduced from last quarter as the performance has slowed (especially if industry is in a down cycle)</t>
  </si>
  <si>
    <t>Has management classified operating cash flow as investments - and shifted to investing section ?</t>
  </si>
  <si>
    <t>unusual increase in capex as % of sales with no corresponding logical reasoning</t>
  </si>
  <si>
    <t>has management recorded inventory purchase as investing outflow?</t>
  </si>
  <si>
    <t>Does management do a lot of accqusition ? Operating inflow are inflated as they consist of the accquired company’s cash flow too, but outflow moves to investing section (accounting quirk)</t>
  </si>
  <si>
    <t>Declining FCF when cash flow is increasing ?</t>
  </si>
  <si>
    <t>New categories of cash flow, not followed by others in industry ?</t>
  </si>
  <si>
    <t>Has management boosted cash flows temporarily by 
- collecting AR rapidly  or prepayments ?
- increase in AP cycle days - paying vendors slowly?
- one time reduction in inventory ?</t>
  </si>
  <si>
    <t>Key metrics</t>
  </si>
  <si>
    <t>Has the definition of a key metric of the industry been changed by the management (such as same store sales in retail, bookings or backlog etc)</t>
  </si>
  <si>
    <t>Does management highlight a misleading metric as surrogate for revenue or other performance factor ?</t>
  </si>
  <si>
    <t>Unusual definition for organic growth sales ?</t>
  </si>
  <si>
    <t>Difference in earnings between 10-Q and release ?</t>
  </si>
  <si>
    <t>Does management pretend that recurring charges are non recurring in nature ?</t>
  </si>
  <si>
    <t>Does management pretend that one time gains are recurring and includes in earnings ?</t>
  </si>
  <si>
    <t>Has management distorted AR turns, suddenly reduced AR to present a better picture ?</t>
  </si>
  <si>
    <t>Has management moved inventory to other parts of balance sheet, use a distorted metric to hide inventory turns deteoration ?</t>
  </si>
  <si>
    <t>Does management distort debt metric to hide liquidity issues ?</t>
  </si>
  <si>
    <t>Has management failed to write off impaired investments ? Impaired investments exist but are still carried on books at cost value</t>
  </si>
  <si>
    <t>Has management shown income increases due to lease assumption changes in the last few quarters ?</t>
  </si>
  <si>
    <t>Has management used AS11 in the past and hidden derivative losses in the balance sheet instead of a pass through P&amp;L</t>
  </si>
  <si>
    <t>Does management use too much derivatives to smooth results ? More in proportion of sales or more compared to others in industry ?</t>
  </si>
  <si>
    <t>Does the company have large gains from ineffective hedging ?</t>
  </si>
  <si>
    <t>Has the accquired company created reserves before accquisition and released later after the merger ?</t>
  </si>
  <si>
    <t>Big write off of any kind of deferred expense ?</t>
  </si>
  <si>
    <t>Large write off of intangible assets to boost future income ?</t>
  </si>
  <si>
    <t>Average EBIT based</t>
  </si>
  <si>
    <t>Ten year average sales</t>
  </si>
  <si>
    <t>Ten year average EBIT</t>
  </si>
  <si>
    <t>EBIT</t>
  </si>
  <si>
    <t>Average margins</t>
  </si>
  <si>
    <t>Future margin</t>
  </si>
  <si>
    <t>Average low PE for last 10 years</t>
  </si>
  <si>
    <t>Average high PE for last 10 years</t>
  </si>
  <si>
    <t>High price</t>
  </si>
  <si>
    <t>Low price</t>
  </si>
  <si>
    <t>Sales (2 yrs from now)</t>
  </si>
  <si>
    <t>Is the business catching some wave or trend and can ride with it for sometime</t>
  </si>
  <si>
    <t>Summary - What is the nature of the business : pure competition, monopoly or oligopoly. Summarize here where the company lies in the continium</t>
  </si>
  <si>
    <t>Summary - how will the undervaluation correct itself ?</t>
  </si>
  <si>
    <t>Summary - What is the key nature of the company's customer advantage. Has the company enhanced the same in the last 10 yrs ?</t>
  </si>
  <si>
    <t>Summary - Does the industry have good economics and does the company in turn have good economics (inspite or due to the industry). Analyse each factor and summarize here. How has economics changed in the last 10 yrs</t>
  </si>
  <si>
    <t>What are the low probability event which can kill the company. What is the probability of that happening ?</t>
  </si>
  <si>
    <t>Summary - Of the factors impacting me, what can I do to counter-act them ?</t>
  </si>
  <si>
    <t>Summary - Which catalysts will work and how long will it take ?</t>
  </si>
  <si>
    <t>Summary - Any models which in combination with economics model will create a very large upside ?</t>
  </si>
  <si>
    <t>Summary - Any value which should be used to raise the valuation upwards ?</t>
  </si>
  <si>
    <t>No brainer price</t>
  </si>
  <si>
    <t>At this loss probability is very low. Risk reward more than 10:1</t>
  </si>
  <si>
    <t>Is the cash flow lagging net income more than 10% for last 5 years ? / Does the CFFO lag net income ?</t>
  </si>
  <si>
    <t>Is tax as % of PBT below 25%. If yes why ?</t>
  </si>
  <si>
    <t>Is the cash tax below taxes on book by more than 10% (last 5 yrs) and is there a corresponding increase in deferred taxes ? - find reason</t>
  </si>
  <si>
    <t>Does the company have FCCB (foreign currency borrowing). % of total borrowing &gt; 30% ?</t>
  </si>
  <si>
    <t>does the company have foreign currency demoninated borrowings ?</t>
  </si>
  <si>
    <t>Does the company have a currency exposure in excess of 100% of annual sales ?</t>
  </si>
  <si>
    <t>Competitor analysis - update data from financial websites - use moneycontrol for 5 yr average</t>
  </si>
  <si>
    <t>Avg 5 yr numbers</t>
  </si>
  <si>
    <t>assume the future EBIT margin in the future</t>
  </si>
  <si>
    <t>Is the compensation of the auditors excess (subjective criteria)</t>
  </si>
  <si>
    <t>check special resolutions for the last 5-8 yrs. Any resolution which are anti-shareholder ?</t>
  </si>
  <si>
    <t>Sales/Wcap</t>
  </si>
  <si>
    <t>Capacity</t>
  </si>
  <si>
    <t>Has the management issued warrants below or at market cost in the past ?</t>
  </si>
  <si>
    <t>6. What are the few key factors the maximizatio of which will make the company succeed ?</t>
  </si>
  <si>
    <t>7. what additional factors to point 6 if done well will add to success</t>
  </si>
  <si>
    <t>Upside/ downside ratio *</t>
  </si>
  <si>
    <t>Does the company have ROA=ROE, is ROA greater than WACC ?</t>
  </si>
  <si>
    <t>Checklist - Key issues highlighted in red, Important positives in green</t>
  </si>
  <si>
    <t>Comparitive evaluation (how company compares with competition)</t>
  </si>
  <si>
    <t>Parameter</t>
  </si>
  <si>
    <t>Net margins</t>
  </si>
  <si>
    <t>Debt equity</t>
  </si>
  <si>
    <t>ROA</t>
  </si>
  <si>
    <t>Sales growth</t>
  </si>
  <si>
    <t>EV/EBDITA</t>
  </si>
  <si>
    <t>PE</t>
  </si>
  <si>
    <t>OPM ( PBDIT/Sales)</t>
  </si>
  <si>
    <t>Past history of CEO / top management team. Describe their experience</t>
  </si>
  <si>
    <t>Capital usage 6 yrs</t>
  </si>
  <si>
    <t>Cum NP</t>
  </si>
  <si>
    <t>Cum Depreciation</t>
  </si>
  <si>
    <t>Net (should be 0)</t>
  </si>
  <si>
    <t>Net profit</t>
  </si>
  <si>
    <t>%</t>
  </si>
  <si>
    <t>Mn</t>
  </si>
  <si>
    <t>Net Wcap change (inc)</t>
  </si>
  <si>
    <t>Gross FA change (inc)</t>
  </si>
  <si>
    <t>Net debt change (dec)</t>
  </si>
  <si>
    <t>Net dividends (paid)</t>
  </si>
  <si>
    <t>Net investment (mutual etc)</t>
  </si>
  <si>
    <t>Net equity change (buy back)</t>
  </si>
  <si>
    <t>Key factors of competitive advantage for</t>
  </si>
  <si>
    <t>1. Consumer demand Preference (Brands / Trade marks) or customer relationships
2. Key assets - distribution network, Logistics, access to key RM or knowledge base, patents
3. Scale advantages (due to high fixed costs already incurred)
4. Govt regulated monoploy</t>
  </si>
  <si>
    <t xml:space="preserve">1. due to economies of scale advantages
2. Due to management skill - good but may not endure the current management
3. Due to technology / Processes - not so enduring
</t>
  </si>
  <si>
    <t>Huge external opportunity with ability of company to scale ?</t>
  </si>
  <si>
    <t>Value migration to this company ?</t>
  </si>
  <si>
    <t>Change in govt regulation causing value to migrate to the company ?</t>
  </si>
  <si>
    <t>Demand curve inflection (drop in price or income increase causing an inflexion in demand)</t>
  </si>
  <si>
    <t>Competitive landscape change causing share for the company to rise</t>
  </si>
  <si>
    <t>unexpected turnaround</t>
  </si>
  <si>
    <t>Discontious corporate action such as M&amp;A, huge capex, business model change ?</t>
  </si>
  <si>
    <t>Management with high ability not recognized</t>
  </si>
  <si>
    <t>Extremely pessimism with the sector/ company</t>
  </si>
  <si>
    <t>Does the industry/ category have high growth opportunity (1.5X GDP growth) with a few consolidated players (with entry barriers ) - this ensures value will remain with these players</t>
  </si>
  <si>
    <t>No. of competitors  - Monopoly / ologopoly or intense competition (concentration ratio ) - high concentration mean high likelihood of entry barriers</t>
  </si>
  <si>
    <t>Describe the nature of the industry
- close monopoly (1 or at best 2 companies ?)
- Oligopoly (3-4 companies have 70% mkt share)
- monopolisitic competition ( 10+ companies with low mkt share and high competition)
- Perfect competition ( 25+ companies with un diffferentiated product)</t>
  </si>
  <si>
    <t>Market share stability (Will entry of a new player or incumbents caused a major, permanent erosion of market share ?) - has the market share changed by more than 5% for companies - if yes, then no CA</t>
  </si>
  <si>
    <t xml:space="preserve">One of the Dominant firms in product or geo segment ? (is it an oligopoly or duoplogy - indicator of competitive advantage) </t>
  </si>
  <si>
    <t>Scalability/ Multi-bagger evaluation</t>
  </si>
  <si>
    <t>Can the company improve its ROE/ROCE and how will it do it ?
- improve margins (and how)
- Improve asset turns (FA or reduce Wcap) - due to scale or outsourcing ?</t>
  </si>
  <si>
    <t>Does the industry have a duoploy or limited no. of big companies (top 5 account for more than 60%) ?</t>
  </si>
  <si>
    <t>Is the market share change among top 5 companies less than 2-3% ?</t>
  </si>
  <si>
    <t>Does the industry have an inelastic supply curve ? 
How long does it take to add new capacity or plant (brownfield or greenfield). This is critical for commodity companies as this will define period of supply squeeze and hence high profits/ stock price</t>
  </si>
  <si>
    <t>Does the industry have an inelastic demand curve ?
- Is the commodity or product a small % of the total cost of end product (less than 20%) ?
- does the commodity or product have easy substitutes ?
- At what price will the end user start reducing the usage ?</t>
  </si>
  <si>
    <t>Impact of the demand and supply curves
- how long will it take for the shortage situation to resolve (in commodity industry) via demand reduction and supply increase for prices to drop ?</t>
  </si>
  <si>
    <t>Commodity company analysis</t>
  </si>
  <si>
    <t>Exceptional upside possible ?</t>
  </si>
  <si>
    <t>Dividend</t>
  </si>
  <si>
    <t>Will the returns come from Earnings growth or PE expansion ?</t>
  </si>
  <si>
    <t>If PE expansion, what factors will cause it</t>
  </si>
  <si>
    <t>Will earnings triple in 5 years ?</t>
  </si>
  <si>
    <t>What factors will contribute to this high earnings growth or hinder it ?</t>
  </si>
  <si>
    <t>Find average high PE for last 10 yrs</t>
  </si>
  <si>
    <t>Any reason why the terminal PE should be 12 times earnings (higher than current ?)</t>
  </si>
  <si>
    <t>Is the management investing cash in low return business (core or unrelated ? - empire building ?</t>
  </si>
  <si>
    <t>Does the management have integrity - any anti shareholder resolutions in the past ?</t>
  </si>
  <si>
    <t xml:space="preserve">Is the management rational in capital allocation . Does management allocate capital well and above current rate of return. </t>
  </si>
  <si>
    <t>How much should it change to cause the PE to increase</t>
  </si>
  <si>
    <t>What factors will cause the intrinsic value to rise ?</t>
  </si>
  <si>
    <t>At what rate can we assume that the intrinsic value will grow ?</t>
  </si>
  <si>
    <t>Projection</t>
  </si>
  <si>
    <t>History</t>
  </si>
  <si>
    <t>Additional data average</t>
  </si>
  <si>
    <t>What has the management done with excess cash (which cannot profitability invested in core biz)
a. increasing dividends ?
b. Buybacks 
c. Lending to associate and sister companies
d. Investing in the stock market ?
E. do nothing (sitting on balance sheet in fixed income instruments)</t>
  </si>
  <si>
    <t xml:space="preserve">List all factors or evidence, the presence of which will invalidate the bullish argument for the ideas (or cause the rejection of idea). Search for the evidence </t>
  </si>
  <si>
    <t>What are the assumption behind the above valuations ?</t>
  </si>
  <si>
    <t>p/e high v/s low</t>
  </si>
  <si>
    <t>Is the sale a long term sale with front loading of revenue ?</t>
  </si>
  <si>
    <t>Does the product involve high incentive for the employee to sell, but traps customer in a long term deal with bad results for them ?</t>
  </si>
  <si>
    <t>Insider buying</t>
  </si>
  <si>
    <t>What is % holding by promoters/ management</t>
  </si>
  <si>
    <t>Has there been insider buying in the last 3-6 months. If yes, what % of outstanding ?</t>
  </si>
  <si>
    <t>Limited number of companies in the sector with stable market share (list top 5 companies) and not much change in top 5 in the last 5 years ? If google search does not give the names easily, chances are the mkt is fragmented</t>
  </si>
  <si>
    <t>What are the regulatory risks ? Does the government decide the cost of RM, Pricing of final product or some key input for business such as spectrum, mkt access etc ?</t>
  </si>
  <si>
    <t>Does the high returns depend on the regulatory approval/ current regulations being maintained by government ?</t>
  </si>
  <si>
    <r>
      <t>Moat analysis - does company has</t>
    </r>
    <r>
      <rPr>
        <b/>
        <sz val="10"/>
        <rFont val="Tahoma"/>
        <family val="2"/>
      </rPr>
      <t xml:space="preserve"> deep and wide competitive advantage or weak one ?</t>
    </r>
    <r>
      <rPr>
        <sz val="10"/>
        <rFont val="Tahoma"/>
        <family val="2"/>
      </rPr>
      <t xml:space="preserve">
Customer advantages are more sustainable !</t>
    </r>
  </si>
  <si>
    <t>1. Habit forming and High Differentiation - No. 1
2. Experience goods (brand effect, trademarks) - No. 2
3. High switching cost (Lock-in) - No. 3 (for ex : change of business software by a co. such as SAP ERP etc)
4. High search cost ( where it is diffcult, expensive and risk for custom to look for alternative ) like case of doctor or lawyer
5. Network effect (related to switching cost - network effect increases switching cost)</t>
  </si>
  <si>
    <r>
      <t xml:space="preserve">1. Does co have multiple demand side advantages ? - absence or minimal demand side advantages mean weak or no moat
2. Does company has scale advantages - absolute advantage is not necessary. Local or product specific  advantages are enough
3. Does the company has cost advantages with or without scale
</t>
    </r>
    <r>
      <rPr>
        <b/>
        <sz val="10"/>
        <color indexed="10"/>
        <rFont val="Tahoma"/>
        <family val="2"/>
      </rPr>
      <t>Answer to these 3 questions decides whether competitive advantage is deep and wide or shallow/ narrow</t>
    </r>
    <r>
      <rPr>
        <sz val="10"/>
        <rFont val="Tahoma"/>
        <family val="2"/>
      </rPr>
      <t xml:space="preserve">
</t>
    </r>
  </si>
  <si>
    <t>High ROE (&gt; 15% ?) for last 10 years and the same is being maintained ? If yes, displays persistence of returns and hence CA 
Has the dominant firm maintained ROE &gt; 15% for a long period of time ?</t>
  </si>
  <si>
    <t>Does the company has pricing power - ability to raise prices ahead of inflation : check if the price/ unit or tonne has kept pace with inflation or ahead of inflation ?</t>
  </si>
  <si>
    <t xml:space="preserve">Does the company have a lot of subsidairies with no details on these subsidiaries ? </t>
  </si>
  <si>
    <t>Does the company has opaque transactions with subsidiaries (check related party) and transaction size is big ?</t>
  </si>
  <si>
    <t>Large loans and advances transactions with no details (greater than 10% of net profit)</t>
  </si>
  <si>
    <t>Are fixed assets much higher in proportion to sales compared to other companies in industry ?</t>
  </si>
  <si>
    <t>Fraud analysis (more than 2-3 of below should lead to rejection of company)</t>
  </si>
  <si>
    <t>Has the company been lending large sums of money to subsidiaries and related parties for no logical reason ?</t>
  </si>
  <si>
    <t>Is depreciation less than 3% of fixed assets ?</t>
  </si>
  <si>
    <t>Has the dividend been stopped for no reason ?</t>
  </si>
  <si>
    <t>Has the management pledged more than 20% of shares, why the pledge ?</t>
  </si>
  <si>
    <t>Describe negative thesis for the company (give three reasons against the idea)</t>
  </si>
  <si>
    <t>Have I looked at the base case for the industry - have majoritiy of the companies in the industry created wealth ?</t>
  </si>
  <si>
    <t>Is the company increasing / improving its competitive advantage ?</t>
  </si>
  <si>
    <t>What is the level of change in the end product service ? Is it a fast cycle product (rapid changes such as cell phones ) or slow cycle product (consumer good like soap etc) ? How does the product cycle impact Competitive advantage</t>
  </si>
  <si>
    <t>Is the current market/ future market for the company growing at 10%+ in volumes ?</t>
  </si>
  <si>
    <t>Management checklist</t>
  </si>
  <si>
    <t>Does the company face intense competition in its segment from some new competitor or other large competitors?</t>
  </si>
  <si>
    <t>CAP = 8 years (base case)</t>
  </si>
  <si>
    <t>Value trap analysis</t>
  </si>
  <si>
    <t>Management performance</t>
  </si>
  <si>
    <t>Has the management invested incremental cash at 15%+ levels ?</t>
  </si>
  <si>
    <t>Is the management hoarding cash without raising dividend or reinvesting it ?</t>
  </si>
  <si>
    <t>Is the management hoarding cash and not growing business ?</t>
  </si>
  <si>
    <t>Is the trend coming to an end (for example stagnation in subscriber growth in telecom ?)</t>
  </si>
  <si>
    <t>Is the company undergoing technological disruption ?</t>
  </si>
  <si>
    <t>Is there a power shift in the value chain ?</t>
  </si>
  <si>
    <t>Is the company in an industry with deterorating economics ?</t>
  </si>
  <si>
    <t>Is there a new business model or change in biz model happening ?</t>
  </si>
  <si>
    <t>IS the company a 3rd or fourth tier company in cyclical industry or an also ran in winner takes all ?</t>
  </si>
  <si>
    <t>Does the company have incompetent management with poor ethics and poor capital allocation skills ?</t>
  </si>
  <si>
    <t>Liabilities</t>
  </si>
  <si>
    <t>Does the company sell at huge discount to market or to other companies in the industry ? Why ?</t>
  </si>
  <si>
    <t>Is the FCF less than 0.8 times earnings on average for last 5+ yrs ?</t>
  </si>
  <si>
    <t>Has the recent performance been due to bubble/ Cyclical high or am I looking at cylical earnings ?</t>
  </si>
  <si>
    <t>Does the company have contigent / off balance sheet liabilities in excess of annual profits ?</t>
  </si>
  <si>
    <t>Has the management does accquisitions in the past at high valuations and did they work out successfully ? (Check goodwill write offs, has book value increase been lesser than retained earnings ?)</t>
  </si>
  <si>
    <t>Has the management used aggressive accounting in the past to manage results ?</t>
  </si>
  <si>
    <t>Check the board composition - how many as % is promoter or family ? Does the family perform any useful role in management ?</t>
  </si>
  <si>
    <t>Why should the insiders be buying ? 
- low holding ?
- Go private ?
- possible increase in value ?
- Promotional / ulterior motives ?</t>
  </si>
  <si>
    <t>Company type analysis</t>
  </si>
  <si>
    <r>
      <t xml:space="preserve">Fast grower with </t>
    </r>
    <r>
      <rPr>
        <u val="single"/>
        <sz val="10"/>
        <rFont val="Tahoma"/>
        <family val="2"/>
      </rPr>
      <t>durable</t>
    </r>
    <r>
      <rPr>
        <sz val="10"/>
        <rFont val="Tahoma"/>
        <family val="2"/>
      </rPr>
      <t xml:space="preserve"> competitive advantage - Is the valuation more than 20 times earnings ?</t>
    </r>
  </si>
  <si>
    <t xml:space="preserve">Company type
a. Fast grower with competitive advantages
b. slow or no growth with competitive advantages
c. Turn around situation (fundamental performance)
d. cyclical company in a downturn - with clear catalyst in 6-12 months
</t>
  </si>
  <si>
    <t>Slow or no growth with durable competitive advantages (blue chip) - Does the company sell below median PE for the company and undervalued due to recent weak performance ?</t>
  </si>
  <si>
    <t>Turn around situation (fundamental performance) - Is the company facing a temporary issue due to macro or due to temporary but solvable business issue ?</t>
  </si>
  <si>
    <t xml:space="preserve">cyclical company in a downturn - Is it a cyclical company (50% drop in profits or more from peak) and facing the bottom of the business cycle
</t>
  </si>
  <si>
    <t>Inv turns</t>
  </si>
  <si>
    <t>Recievables turn</t>
  </si>
  <si>
    <t>steady</t>
  </si>
  <si>
    <t>improved with higher economies of scale</t>
  </si>
  <si>
    <t>NPM up due to drop in interest costs</t>
  </si>
  <si>
    <t>Asset turn improvements mainly from higher FA turns. Wcap usage has generally been small</t>
  </si>
  <si>
    <t>improved due to improved margins and doubled Asset turns. Company likely to maintain at 30% levels</t>
  </si>
  <si>
    <t>Polymer processed</t>
  </si>
  <si>
    <t>Growth</t>
  </si>
  <si>
    <t>12% volume growth (2 times GDP)</t>
  </si>
  <si>
    <t>Sales/ unit (Mn/MT)</t>
  </si>
  <si>
    <t>Price increase</t>
  </si>
  <si>
    <t>increase @ 5.5 %, same as inflation</t>
  </si>
  <si>
    <t>Capacity utilization</t>
  </si>
  <si>
    <t>Fast grower with competitive advantages</t>
  </si>
  <si>
    <t>No, ROA is lower than ROE due to debt. ROA is greater than WACC (at least 15% or more)</t>
  </si>
  <si>
    <t>No, improvement from 2006 onwards</t>
  </si>
  <si>
    <t>Yes, from other large and small competitors</t>
  </si>
  <si>
    <t>Yes, currently facing competition from low cost imports from china</t>
  </si>
  <si>
    <t>Yes - fast life cycle products. New products have to be introduced regularly to maintain margins</t>
  </si>
  <si>
    <t>Yes - market grows at around 1.5 times GDP</t>
  </si>
  <si>
    <t>5% inflation and market growth of around 10%, can give company 15% growth. Can maintain ROE at margins of 6% and above</t>
  </si>
  <si>
    <t>Improve margins - by reducing overheads and interest costs
Asset turns may show minor improvements</t>
  </si>
  <si>
    <t>Yes</t>
  </si>
  <si>
    <t>Re-course</t>
  </si>
  <si>
    <t>around 50% of borrowing (99 Crs ) is foreign borrowing, should be able to absorb currency impacts</t>
  </si>
  <si>
    <t>No, industry is characterised by unorganized sector and a lot of smaller companies</t>
  </si>
  <si>
    <t>No - management has allocated capital intelligently in the last 6 years</t>
  </si>
  <si>
    <t>No accquisition</t>
  </si>
  <si>
    <t>Does not appear so</t>
  </si>
  <si>
    <t>Does not appear high</t>
  </si>
  <si>
    <t>Yes - almost 5% of  net profit</t>
  </si>
  <si>
    <t>50% board is promoter family</t>
  </si>
  <si>
    <t>No pledge</t>
  </si>
  <si>
    <t>None</t>
  </si>
  <si>
    <t>No, around 14-15 times</t>
  </si>
  <si>
    <t>Fast grower with shallow competitive advantages. Cannot value it at more than 20 times</t>
  </si>
  <si>
    <t>Business has low ROE, low entry barriers and lots of small competition. The company benefits by having advantages of scale, large mfg and distribution network and large range of products and technologies</t>
  </si>
  <si>
    <t>Yes, company is likely to keep increasing scale and products range and maintain a decent ROE</t>
  </si>
  <si>
    <t>No, industry characteristed by lots of small companies and un-organized sector</t>
  </si>
  <si>
    <t>No, company has much better ROE and margins due to the wide range of products</t>
  </si>
  <si>
    <t>Yes, company has improved its competitive advantage by increasing the range of products, increasing mfg and distrbution scale</t>
  </si>
  <si>
    <t>No, looks like a premium due to better ROC of the business</t>
  </si>
  <si>
    <t>Does not seem so</t>
  </si>
  <si>
    <t>Yes, management has increased shareholding from 44% to 49% through open market operations. Seems to be transaction to increase holding in a value creating biz</t>
  </si>
  <si>
    <t>Find the average low PE for last 10 yrs. Is the variability more than 100% ? - yes</t>
  </si>
  <si>
    <t>Overhead reduction main reason for the drop - most heads have grown at rates lower than sales. Larger network of plants has resulted in drop in frieght costs</t>
  </si>
  <si>
    <t>Company has grown by 20% in last 7-8 yrs. Should be able to do 20% (10-12% volume + 7 % price increase)</t>
  </si>
  <si>
    <t>Should be able to achieve 20%+ growth with small improvements in margins</t>
  </si>
  <si>
    <t>The company is among top 3 players in almost each segment it operates</t>
  </si>
  <si>
    <t>1. Time technoplast
2. Sintex
3. Atral poly
The industry is characterised by a large number of small companies in organized and unorganized sector</t>
  </si>
  <si>
    <t>Market shares are stable in most segments with the larger players gain share over the un-organized ones</t>
  </si>
  <si>
    <t>No, has happened in the last 6-7 years as the company has achieved scale</t>
  </si>
  <si>
    <t>Margins less than 10%, but have expanded from 3 to 8% levels. May approach 9% at best
Asset turns have been above 2 and now @ 4 times, indicating production side scale advantages</t>
  </si>
  <si>
    <t>Yes - company is able to change price based on changes in RM prices</t>
  </si>
  <si>
    <t>1. Process economies resulting from
a. Linked activities
b. Learning curve process costs</t>
  </si>
  <si>
    <t>1. Scale economies from
a. Distribution
b. purchasing 
c. Production
d. Mktg and advtg</t>
  </si>
  <si>
    <t>1. Customer relationships
2. Key assets - Distribution network, customer relationships and brands
3. Scale advantages</t>
  </si>
  <si>
    <t>Mainly due to economies of scale and management skill</t>
  </si>
  <si>
    <t>Relationships with customers and supplier of RM and tech/ Process base and knowledge</t>
  </si>
  <si>
    <t>Distribution network/Customer relationship/ Plants/ License for some products/ Small switching costs</t>
  </si>
  <si>
    <t>Mainly purchased technology</t>
  </si>
  <si>
    <t xml:space="preserve">Some brands/ trademarks </t>
  </si>
  <si>
    <t>Continue at current 20% +growth rate</t>
  </si>
  <si>
    <t>Drive OPM to 17%+</t>
  </si>
  <si>
    <t>Yes - key driver of higher margin</t>
  </si>
  <si>
    <t>Already at 4 times</t>
  </si>
  <si>
    <t>New products, increasing consumption</t>
  </si>
  <si>
    <t>Moderate</t>
  </si>
  <si>
    <t>Important driver of margins</t>
  </si>
  <si>
    <t>Low</t>
  </si>
  <si>
    <t>High - key differentiator</t>
  </si>
  <si>
    <t>High levels of competition in most product segments</t>
  </si>
  <si>
    <t>Entry barriers mainly from distribution network, brands and economies of scale</t>
  </si>
  <si>
    <t>Low as the main RM is polymers which are dependent on Oil prices</t>
  </si>
  <si>
    <t>Low power as the company sells to a wide range of customers</t>
  </si>
  <si>
    <t>Moderate to low</t>
  </si>
  <si>
    <t>None, products are actually substitutes of metal based products</t>
  </si>
  <si>
    <t>high</t>
  </si>
  <si>
    <t>Moderate to high rivalry in several segment. commoditization levels are quite high</t>
  </si>
  <si>
    <t>Plastic piping</t>
  </si>
  <si>
    <t>Packaging products</t>
  </si>
  <si>
    <t>Consumer products</t>
  </si>
  <si>
    <t>Industrial products</t>
  </si>
  <si>
    <t>Mkt share</t>
  </si>
  <si>
    <t>Finolex, Chemplast sanmar, Kriti industries, Tulsi extrusions, Astral polytechnik</t>
  </si>
  <si>
    <t>Several large and un-organized players</t>
  </si>
  <si>
    <t>Nilkamal</t>
  </si>
  <si>
    <t>Tata Auto comp, sintex industries, Time technoplast, Nilkamal</t>
  </si>
  <si>
    <t>Sintex</t>
  </si>
  <si>
    <t>Finolex</t>
  </si>
  <si>
    <t>Time technoplast</t>
  </si>
  <si>
    <t>Astral poly</t>
  </si>
  <si>
    <t>Comparable net margins to other companies</t>
  </si>
  <si>
    <t>Much less debt (&lt; 0.5) compared to 0.7 or higher</t>
  </si>
  <si>
    <t>higher than other companies due to lower Wcap</t>
  </si>
  <si>
    <t>Higher unleveraged ROE due to lower Wcap</t>
  </si>
  <si>
    <t>comparable to other companies - 15%+</t>
  </si>
  <si>
    <t>Higher than most companies as the company has comparable growth and higher ROE</t>
  </si>
  <si>
    <t>Company topline has grown. Profits and margins have stagnated. ROE is poor</t>
  </si>
  <si>
    <t>High debt due to prefab segment. Also ROE is low. Unrelated diversification</t>
  </si>
  <si>
    <t>Expansion in foreign markets has depressed returns. Will take time to turnaround</t>
  </si>
  <si>
    <t>Company growing rapidly in niche. Margin are reducing. Long term sustainability of margins is suspect as competition increases</t>
  </si>
  <si>
    <t>No, industry is characterised by low returns on capital, price wars and low barriers to entry</t>
  </si>
  <si>
    <t>A large no. of small firms - unorganized sector earning low return on capital indicating low competitive advantage for most companies</t>
  </si>
  <si>
    <t>25+ companies in most low end products. However some major products have a 8-10 companies with 70% market share</t>
  </si>
  <si>
    <t>No, growth will be 2X GDP, however constant entry of new competition will result in regression of returns</t>
  </si>
  <si>
    <t>Yes, supreme is able to increase price consistent with inflation</t>
  </si>
  <si>
    <t>20%+ for the business cycle</t>
  </si>
  <si>
    <t>Yes, new products are constantly being introduced and becoming commoditized</t>
  </si>
  <si>
    <t>Yes - companyies require constant capex to grow.Capex not too expensive and take 2-3 yrs (with high IRR)</t>
  </si>
  <si>
    <t>Pure competition in several products. Limited oligopoly in the newer products/ technology</t>
  </si>
  <si>
    <t>The industry as a whole has average economics. Company has superior profitability due to focus on new products, low Wcap and extensive distribution network/ customer relationships</t>
  </si>
  <si>
    <t>No - RM and overheads account for 80% of cost</t>
  </si>
  <si>
    <t>around 15-18%</t>
  </si>
  <si>
    <t>With 1-2 % of competition</t>
  </si>
  <si>
    <t>Yes - by expanding distribution, adding new products and adding new customers</t>
  </si>
  <si>
    <t>Yes - mainly from unorganized sector and from substitution effect</t>
  </si>
  <si>
    <t>Yes - has done in the past. Now at the upper limit of the same</t>
  </si>
  <si>
    <t>a. Existing product/market
c. New products in existing market
d. New product/ new market - smallest (composite cylinder)</t>
  </si>
  <si>
    <t>Yes - mainly reduced Wcap turns and improved Asset turns too</t>
  </si>
  <si>
    <t>Not too high</t>
  </si>
  <si>
    <t>Mainly customer relationships</t>
  </si>
  <si>
    <t>Yes - movement to higher plastic usage and replacement of metals</t>
  </si>
  <si>
    <t>Small effect</t>
  </si>
  <si>
    <t>Yes - by providing better distribution and total solution in packaging products</t>
  </si>
  <si>
    <t>Mainly by providing wider distribution, high quality products and new products</t>
  </si>
  <si>
    <t>Dominant player in specific niches</t>
  </si>
  <si>
    <t>In broad segments</t>
  </si>
  <si>
    <t>Co-operate with other in the ecosystems such as Auto OEM, contractors etc</t>
  </si>
  <si>
    <t>None apparent</t>
  </si>
  <si>
    <t>yes</t>
  </si>
  <si>
    <t>around 10% of Mcap will come from selling the real estate</t>
  </si>
  <si>
    <t>around 40% of annual profit - not too high</t>
  </si>
  <si>
    <t>Stock does not have undervaluation. Returns should be commensurate with increase in intrinsic value</t>
  </si>
  <si>
    <t>Yes - has constantly dropped low margin products and introduced new products. Now expanding into CPVC</t>
  </si>
  <si>
    <t>A 20% drop in economy which is a very low probability event, can cause serious damage to company</t>
  </si>
  <si>
    <t>Yes giving wieghtage to the last 6-7 years of data more. However this seems to be appropriate</t>
  </si>
  <si>
    <t>yes - analysing the downside and comparing with industry performance</t>
  </si>
  <si>
    <t>No - just started position</t>
  </si>
  <si>
    <t>Not yet</t>
  </si>
  <si>
    <t>1. commoditization proceeds faster than expected and impacts margins and ROE
2. Growth of new products is lesser than expected, resulting in lower overall margins
3. Oil price shock causes the margins to suffer</t>
  </si>
  <si>
    <t>Not influenced by the recommendations</t>
  </si>
  <si>
    <t>New position</t>
  </si>
  <si>
    <t>attempting to avoid</t>
  </si>
  <si>
    <t>Yes - seem to concur</t>
  </si>
  <si>
    <t>yes, doing so in the worksheet</t>
  </si>
  <si>
    <t>Need to avoid confirmation bais, commitment and consistency tendency on this idea</t>
  </si>
  <si>
    <t>1. Will the company be maintain growth and margins in the products in pipe and packaging segments
2. How will the new composites based products perform in the future
3. Any import threats ?</t>
  </si>
  <si>
    <t>Continued migration to plastics product (substitution) and from un-organized to organized
Continued focus on expanding distribution and new products
Organic growth in the industry</t>
  </si>
  <si>
    <t>1. Expand distribution and new customer relationships (including expand existing relationship)
2. Introduce new high margin products (exit the lower margin products)
3. Focus on cost efficiences</t>
  </si>
  <si>
    <t>Continued ROE at existing level and 15% (10 % volume growth) growth in profits will cause the fair value to rise</t>
  </si>
  <si>
    <t>around 15%</t>
  </si>
  <si>
    <t>Yes - move from unorganized to organized</t>
  </si>
  <si>
    <t>Mainly from earnings growth</t>
  </si>
  <si>
    <t>Growth in usage of plastics, new products and migration from unorganized to organized / from metals to plastics product</t>
  </si>
  <si>
    <t>ROC is 30% and company should grow atleast at GDP rate</t>
  </si>
  <si>
    <t>maintain ROC @ 30% and growth @ 20%</t>
  </si>
  <si>
    <t>Yes - very likely</t>
  </si>
  <si>
    <t>Competition resulting in lower margins and ROC could make this a poor investment</t>
  </si>
  <si>
    <t>50% increase in the last 6 months due to continued good performance</t>
  </si>
  <si>
    <t>continued good performance at the fundamental level</t>
  </si>
  <si>
    <t>Will the company be able to maintain margins via new products and on existing high margin products
Will the company get extra profitable growth via exports ?</t>
  </si>
  <si>
    <t>Management has invested excess cash into business at an incremental rate of 30%, increased dividend and also executed buyback at an opportune time.</t>
  </si>
  <si>
    <t>around 5% of net profit, on the higher side</t>
  </si>
  <si>
    <t>.4% of sales</t>
  </si>
  <si>
    <t>Minimal, seem to be successful</t>
  </si>
  <si>
    <t>Current management has run the company for 40+ yr. This is their only company and seem to be focussed on it</t>
  </si>
  <si>
    <t>Volume growth = 2XGDP - around 14-15% value growth for industry + new product and expansion should give the company a 20% value growth. Company should be able to maintain current margins and thus deliver a bottom line growth of 20%</t>
  </si>
  <si>
    <t>Done</t>
  </si>
  <si>
    <t>All considered</t>
  </si>
  <si>
    <t>Economic growth in country</t>
  </si>
  <si>
    <t>Substitution of metal and other products by plastics</t>
  </si>
  <si>
    <t>Migration to organized sector</t>
  </si>
  <si>
    <t>RM price fluctuations</t>
  </si>
  <si>
    <t>Company can pass on the change with time lag (as in 2008)</t>
  </si>
  <si>
    <t>Margin drop due to competition</t>
  </si>
  <si>
    <t>constant commoditization is threat in the industry</t>
  </si>
  <si>
    <t>Demand tailwind</t>
  </si>
  <si>
    <t>As detailed in demand drivers</t>
  </si>
  <si>
    <t>Strong balance sheet</t>
  </si>
  <si>
    <t>enables the company to invest in capacity</t>
  </si>
  <si>
    <t>Minimal wcap</t>
  </si>
  <si>
    <t>enables the company to earn high ROC</t>
  </si>
  <si>
    <t>Brand, customer relationships and distribution network</t>
  </si>
  <si>
    <t>enables company to introduce new products, maintain price and margins</t>
  </si>
  <si>
    <t>If ROC drops below 15%</t>
  </si>
  <si>
    <t>OPM drops below 13%</t>
  </si>
  <si>
    <t>Growth slows below 10%</t>
  </si>
  <si>
    <t>Checklist - Is the Risk reward greater than &gt; 3 - No</t>
  </si>
  <si>
    <t>Is high v/s low &gt; 2 - yes, reduced recently</t>
  </si>
  <si>
    <t>Capex as % of Cash flow</t>
  </si>
  <si>
    <t>Economy growth around - 6%, Plastic growth - 10-12% plus inflation - 15-17% market growth</t>
  </si>
  <si>
    <t>@ 15% company is growing at market grow (quite doable)</t>
  </si>
  <si>
    <t xml:space="preserve">average margin has been 6-7% for the industry. 7% </t>
  </si>
  <si>
    <t>6-7% can happen if the company's plans to increase composites and other NPD suceed. 8% is not highly unlikely (OPM &gt; 16%). 6-7% is more doable</t>
  </si>
  <si>
    <t>most likely value seems to be between 550-650</t>
  </si>
  <si>
    <t>current market cap assumes no growth</t>
  </si>
  <si>
    <t>Current assumption is that margin will be &lt; 6% and growth around 10%</t>
  </si>
  <si>
    <t>No - sales is booked when shipped to distributor/ customer</t>
  </si>
  <si>
    <t>No - very low AR</t>
  </si>
  <si>
    <t>No, cash flow has been higher than profits with Wcap becoming negative</t>
  </si>
  <si>
    <t>Not clear</t>
  </si>
  <si>
    <t>Yes - sale of property is being shown as revenue</t>
  </si>
  <si>
    <t>No as planned</t>
  </si>
  <si>
    <t>No - improvement mainly by controlling inventory and AR</t>
  </si>
  <si>
    <t>no</t>
  </si>
  <si>
    <t>on lower side @ 5% of salary</t>
  </si>
  <si>
    <t>No. cash taxes roughy equal to taxes on book</t>
  </si>
  <si>
    <t>Company has hedging for around 200 Cr, no losses accumulated on books</t>
  </si>
  <si>
    <t>No - around 2-3% of sales …looks ok</t>
  </si>
  <si>
    <t>have included real estate sales in regular revenue. This is not ongoing revenue</t>
  </si>
  <si>
    <t>Does not liquidity issue, but has highlighted buyer credit as current liability in past. Buyer credit is short term debt</t>
  </si>
  <si>
    <t>Small firm</t>
  </si>
  <si>
    <t>not high</t>
  </si>
  <si>
    <t>Yes - will be when the sale of real estate happens</t>
  </si>
  <si>
    <t>No - same auditor</t>
  </si>
  <si>
    <t>Customer advantage 
a. small brand effect in some, in some cases brand and quality is important (pipes etc)
b. Small switching cost in some cases for OEM</t>
  </si>
  <si>
    <t>1. Limited demand side advantages in some products and higher in other product lines
2. Company has mainly scale advantages at product/ local level
Company has shallow and narrow moat on which it has to keep working hard and operates efficiently and on scale</t>
  </si>
  <si>
    <t>2013 growth excludes property sales</t>
  </si>
  <si>
    <t>Has been able to hold the margins and pass through RM cost changes. At best likely to improve to 9%. 2013 excludes property sales</t>
  </si>
  <si>
    <t>improvement due to drop in overhead costs. 2013 does not include property sale</t>
  </si>
  <si>
    <t>excludes short term debt and commerical complex inventory value</t>
  </si>
  <si>
    <t>Q2 2013 results</t>
  </si>
  <si>
    <t>company came out with decent results. Topline growth of around 15% and profit of around 30% (excluding property sales)</t>
  </si>
  <si>
    <t>Fixed asset went up with new capacity, also Wcap has crept up and hence debt has gone up. Company should be able to bring down debt in next one year as new capacity comes on stream</t>
  </si>
  <si>
    <t>Company executing as per plan (debt is slightly high)</t>
  </si>
  <si>
    <t>drop in 2013 due to high capex. Should imrpove</t>
  </si>
  <si>
    <t>increase in 2013 due to increase in Oil prices</t>
  </si>
  <si>
    <t>increase in RM costs which have not been passed through</t>
  </si>
  <si>
    <t>Debt is overstated, company has included buyer's credit. Also wcap/ fixed asset needs have increased debt in 2013</t>
  </si>
  <si>
    <t>value of commercial property + supreme petrochem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</si>
</sst>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0000"/>
    <numFmt numFmtId="189" formatCode="0.0000000000"/>
    <numFmt numFmtId="190" formatCode="0.00000000000000%"/>
    <numFmt numFmtId="191" formatCode="0.0000000000000%"/>
    <numFmt numFmtId="192" formatCode="0.000000000000000%"/>
    <numFmt numFmtId="193" formatCode="0.0000000000000000%"/>
    <numFmt numFmtId="194" formatCode="0.00000000000000000%"/>
    <numFmt numFmtId="195" formatCode="0.000000000000%"/>
    <numFmt numFmtId="196" formatCode="0.00000000000%"/>
    <numFmt numFmtId="197" formatCode="0.0000000000%"/>
    <numFmt numFmtId="198" formatCode="0.000000000%"/>
    <numFmt numFmtId="199" formatCode="0.00000000%"/>
  </numFmts>
  <fonts count="56">
    <font>
      <sz val="11"/>
      <name val="ＭＳ Ｐゴシック"/>
      <family val="3"/>
    </font>
    <font>
      <sz val="8"/>
      <name val="Tahoma"/>
      <family val="2"/>
    </font>
    <font>
      <b/>
      <sz val="8"/>
      <name val="Tahoma"/>
      <family val="2"/>
    </font>
    <font>
      <sz val="10"/>
      <name val="Tahoma"/>
      <family val="2"/>
    </font>
    <font>
      <sz val="11"/>
      <name val="Tahoma"/>
      <family val="2"/>
    </font>
    <font>
      <b/>
      <sz val="10"/>
      <name val="Tahoma"/>
      <family val="2"/>
    </font>
    <font>
      <b/>
      <sz val="11"/>
      <name val="Tahoma"/>
      <family val="2"/>
    </font>
    <font>
      <i/>
      <sz val="10"/>
      <name val="Tahoma"/>
      <family val="2"/>
    </font>
    <font>
      <b/>
      <i/>
      <sz val="10"/>
      <name val="Tahoma"/>
      <family val="2"/>
    </font>
    <font>
      <b/>
      <sz val="10"/>
      <name val="Arial"/>
      <family val="2"/>
    </font>
    <font>
      <sz val="10"/>
      <name val="Arial"/>
      <family val="2"/>
    </font>
    <font>
      <sz val="8"/>
      <name val="ＭＳ Ｐゴシック"/>
      <family val="3"/>
    </font>
    <font>
      <b/>
      <sz val="11"/>
      <name val="Arial"/>
      <family val="2"/>
    </font>
    <font>
      <sz val="10"/>
      <color indexed="10"/>
      <name val="Tahoma"/>
      <family val="2"/>
    </font>
    <font>
      <b/>
      <sz val="10"/>
      <color indexed="10"/>
      <name val="Tahoma"/>
      <family val="2"/>
    </font>
    <font>
      <u val="single"/>
      <sz val="10"/>
      <name val="Tahoma"/>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Tahoma"/>
      <family val="2"/>
    </font>
    <font>
      <sz val="10"/>
      <color rgb="FFFF0000"/>
      <name val="Tahoma"/>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style="medium"/>
    </border>
    <border>
      <left style="thin"/>
      <right style="thin"/>
      <top style="medium"/>
      <bottom style="thin"/>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70">
    <xf numFmtId="0" fontId="0" fillId="0" borderId="0" xfId="0"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Alignment="1">
      <alignment/>
    </xf>
    <xf numFmtId="0" fontId="3" fillId="0" borderId="0" xfId="0" applyFont="1" applyAlignment="1">
      <alignment/>
    </xf>
    <xf numFmtId="0" fontId="5" fillId="0" borderId="10" xfId="0" applyFont="1" applyBorder="1" applyAlignment="1">
      <alignment/>
    </xf>
    <xf numFmtId="176" fontId="3" fillId="0" borderId="10" xfId="57" applyNumberFormat="1" applyFont="1" applyBorder="1" applyAlignment="1">
      <alignment horizontal="right" wrapText="1"/>
    </xf>
    <xf numFmtId="176" fontId="3" fillId="0" borderId="10" xfId="57" applyNumberFormat="1" applyFont="1" applyBorder="1" applyAlignment="1">
      <alignment/>
    </xf>
    <xf numFmtId="0" fontId="3" fillId="0" borderId="10" xfId="0" applyFont="1" applyBorder="1" applyAlignment="1">
      <alignment wrapText="1"/>
    </xf>
    <xf numFmtId="176" fontId="3" fillId="0" borderId="10" xfId="57" applyNumberFormat="1" applyFont="1" applyBorder="1" applyAlignment="1">
      <alignment wrapText="1"/>
    </xf>
    <xf numFmtId="9" fontId="3" fillId="0" borderId="10" xfId="57" applyFont="1" applyBorder="1" applyAlignment="1">
      <alignment/>
    </xf>
    <xf numFmtId="183" fontId="3" fillId="0" borderId="10" xfId="0" applyNumberFormat="1" applyFont="1" applyBorder="1" applyAlignment="1">
      <alignment/>
    </xf>
    <xf numFmtId="0" fontId="3" fillId="33" borderId="10" xfId="0" applyFont="1" applyFill="1" applyBorder="1" applyAlignment="1">
      <alignment/>
    </xf>
    <xf numFmtId="0" fontId="7" fillId="0" borderId="10" xfId="0" applyFont="1" applyBorder="1" applyAlignment="1">
      <alignment wrapText="1"/>
    </xf>
    <xf numFmtId="0" fontId="3" fillId="34" borderId="10" xfId="0" applyFont="1" applyFill="1" applyBorder="1" applyAlignment="1">
      <alignment/>
    </xf>
    <xf numFmtId="0" fontId="3" fillId="34" borderId="10" xfId="0" applyFont="1" applyFill="1" applyBorder="1" applyAlignment="1">
      <alignment wrapText="1"/>
    </xf>
    <xf numFmtId="0" fontId="3" fillId="0" borderId="0" xfId="0" applyFont="1" applyFill="1" applyAlignment="1">
      <alignment/>
    </xf>
    <xf numFmtId="0" fontId="3" fillId="0" borderId="0" xfId="0" applyFont="1" applyAlignment="1">
      <alignment wrapText="1"/>
    </xf>
    <xf numFmtId="0" fontId="3" fillId="33" borderId="0" xfId="0" applyFont="1" applyFill="1" applyAlignment="1">
      <alignment/>
    </xf>
    <xf numFmtId="0" fontId="3" fillId="0" borderId="0" xfId="0" applyFont="1" applyAlignment="1">
      <alignment vertical="top" wrapText="1"/>
    </xf>
    <xf numFmtId="0" fontId="3" fillId="35" borderId="10" xfId="0" applyFont="1" applyFill="1" applyBorder="1" applyAlignment="1">
      <alignment/>
    </xf>
    <xf numFmtId="0" fontId="3" fillId="33" borderId="10" xfId="0" applyFont="1" applyFill="1" applyBorder="1" applyAlignment="1">
      <alignment vertical="top" wrapText="1"/>
    </xf>
    <xf numFmtId="0" fontId="8" fillId="0" borderId="10" xfId="0" applyFont="1" applyFill="1" applyBorder="1" applyAlignment="1">
      <alignment/>
    </xf>
    <xf numFmtId="0" fontId="6" fillId="0" borderId="0" xfId="0" applyFont="1" applyAlignment="1">
      <alignment vertical="top" wrapText="1"/>
    </xf>
    <xf numFmtId="0" fontId="3" fillId="0" borderId="0" xfId="0" applyFont="1" applyBorder="1" applyAlignment="1">
      <alignment wrapText="1"/>
    </xf>
    <xf numFmtId="0" fontId="10" fillId="0" borderId="11" xfId="0" applyFont="1" applyBorder="1" applyAlignment="1">
      <alignment/>
    </xf>
    <xf numFmtId="0" fontId="10" fillId="0" borderId="0" xfId="0" applyFont="1" applyAlignment="1">
      <alignment/>
    </xf>
    <xf numFmtId="0" fontId="10" fillId="33" borderId="10" xfId="0" applyFont="1" applyFill="1" applyBorder="1" applyAlignment="1">
      <alignment/>
    </xf>
    <xf numFmtId="0" fontId="10" fillId="33" borderId="12" xfId="0" applyFont="1" applyFill="1" applyBorder="1" applyAlignment="1">
      <alignment/>
    </xf>
    <xf numFmtId="0" fontId="10" fillId="35" borderId="10" xfId="0" applyFont="1" applyFill="1" applyBorder="1" applyAlignment="1">
      <alignment/>
    </xf>
    <xf numFmtId="0" fontId="10" fillId="0" borderId="10" xfId="0" applyFont="1" applyBorder="1" applyAlignment="1">
      <alignment/>
    </xf>
    <xf numFmtId="0" fontId="10" fillId="0" borderId="12" xfId="0" applyFont="1" applyBorder="1" applyAlignment="1">
      <alignment/>
    </xf>
    <xf numFmtId="183" fontId="10" fillId="0" borderId="12" xfId="0" applyNumberFormat="1" applyFont="1" applyBorder="1" applyAlignment="1">
      <alignment/>
    </xf>
    <xf numFmtId="0" fontId="10" fillId="0" borderId="0" xfId="0" applyFont="1" applyBorder="1" applyAlignment="1">
      <alignment/>
    </xf>
    <xf numFmtId="1" fontId="10" fillId="0" borderId="0" xfId="0" applyNumberFormat="1" applyFont="1" applyBorder="1" applyAlignment="1">
      <alignment/>
    </xf>
    <xf numFmtId="0" fontId="9" fillId="33" borderId="10" xfId="0" applyFont="1" applyFill="1" applyBorder="1" applyAlignment="1">
      <alignment/>
    </xf>
    <xf numFmtId="0" fontId="10" fillId="33" borderId="0" xfId="0" applyFont="1" applyFill="1" applyBorder="1" applyAlignment="1">
      <alignment/>
    </xf>
    <xf numFmtId="0" fontId="10" fillId="0" borderId="0" xfId="0" applyFont="1" applyFill="1" applyBorder="1" applyAlignment="1">
      <alignment/>
    </xf>
    <xf numFmtId="183" fontId="10" fillId="0" borderId="0" xfId="0" applyNumberFormat="1"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1" fontId="10" fillId="0" borderId="18" xfId="0" applyNumberFormat="1" applyFont="1" applyBorder="1" applyAlignment="1">
      <alignment/>
    </xf>
    <xf numFmtId="1" fontId="10" fillId="0" borderId="17" xfId="0" applyNumberFormat="1" applyFont="1" applyBorder="1" applyAlignment="1">
      <alignment/>
    </xf>
    <xf numFmtId="1" fontId="10" fillId="0" borderId="16" xfId="0" applyNumberFormat="1" applyFont="1" applyBorder="1" applyAlignment="1">
      <alignment/>
    </xf>
    <xf numFmtId="176" fontId="10" fillId="0" borderId="19" xfId="57" applyNumberFormat="1" applyFont="1" applyBorder="1" applyAlignment="1">
      <alignment/>
    </xf>
    <xf numFmtId="176" fontId="10" fillId="0" borderId="0" xfId="57" applyNumberFormat="1" applyFont="1" applyBorder="1" applyAlignment="1">
      <alignment/>
    </xf>
    <xf numFmtId="176" fontId="10" fillId="0" borderId="15" xfId="57" applyNumberFormat="1" applyFont="1" applyBorder="1" applyAlignment="1">
      <alignment/>
    </xf>
    <xf numFmtId="176" fontId="10" fillId="0" borderId="16" xfId="57" applyNumberFormat="1" applyFont="1" applyBorder="1" applyAlignment="1">
      <alignment/>
    </xf>
    <xf numFmtId="9" fontId="10" fillId="0" borderId="0" xfId="57" applyFont="1" applyBorder="1" applyAlignment="1">
      <alignment/>
    </xf>
    <xf numFmtId="9" fontId="10" fillId="0" borderId="19" xfId="57" applyFont="1" applyBorder="1" applyAlignment="1">
      <alignment/>
    </xf>
    <xf numFmtId="9" fontId="10" fillId="0" borderId="15" xfId="57" applyFont="1" applyBorder="1" applyAlignment="1">
      <alignment/>
    </xf>
    <xf numFmtId="9" fontId="10" fillId="0" borderId="16" xfId="57" applyFont="1" applyBorder="1" applyAlignment="1">
      <alignment/>
    </xf>
    <xf numFmtId="9" fontId="10" fillId="0" borderId="14" xfId="57" applyFont="1" applyBorder="1" applyAlignment="1">
      <alignment/>
    </xf>
    <xf numFmtId="176" fontId="10" fillId="0" borderId="14" xfId="57" applyNumberFormat="1" applyFont="1" applyBorder="1" applyAlignment="1">
      <alignment/>
    </xf>
    <xf numFmtId="0" fontId="10" fillId="0" borderId="18" xfId="57" applyNumberFormat="1" applyFont="1" applyBorder="1" applyAlignment="1">
      <alignment/>
    </xf>
    <xf numFmtId="0" fontId="10" fillId="0" borderId="0" xfId="57" applyNumberFormat="1" applyFont="1" applyBorder="1" applyAlignment="1">
      <alignment/>
    </xf>
    <xf numFmtId="0" fontId="10" fillId="0" borderId="16" xfId="57" applyNumberFormat="1" applyFont="1" applyBorder="1" applyAlignment="1">
      <alignment/>
    </xf>
    <xf numFmtId="0" fontId="10" fillId="0" borderId="14" xfId="57" applyNumberFormat="1" applyFont="1" applyBorder="1" applyAlignment="1">
      <alignment/>
    </xf>
    <xf numFmtId="0" fontId="10" fillId="0" borderId="14" xfId="0" applyFont="1" applyFill="1" applyBorder="1" applyAlignment="1">
      <alignment/>
    </xf>
    <xf numFmtId="183" fontId="10" fillId="0" borderId="14" xfId="0" applyNumberFormat="1" applyFont="1" applyBorder="1" applyAlignment="1">
      <alignment/>
    </xf>
    <xf numFmtId="183" fontId="10" fillId="0" borderId="16" xfId="0" applyNumberFormat="1"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23" xfId="0" applyFont="1" applyBorder="1" applyAlignment="1">
      <alignment horizontal="left" vertical="top" wrapText="1"/>
    </xf>
    <xf numFmtId="0" fontId="3" fillId="0" borderId="10" xfId="0" applyFont="1" applyBorder="1" applyAlignment="1">
      <alignment horizontal="left" vertical="top" wrapText="1"/>
    </xf>
    <xf numFmtId="0" fontId="3" fillId="0" borderId="24" xfId="0" applyFont="1" applyBorder="1" applyAlignment="1">
      <alignment/>
    </xf>
    <xf numFmtId="0" fontId="3" fillId="0" borderId="0" xfId="0" applyFont="1" applyBorder="1" applyAlignment="1">
      <alignment horizontal="left" vertical="top" wrapText="1"/>
    </xf>
    <xf numFmtId="0" fontId="3" fillId="33" borderId="23" xfId="0" applyFont="1" applyFill="1" applyBorder="1" applyAlignment="1">
      <alignment/>
    </xf>
    <xf numFmtId="0" fontId="3" fillId="0" borderId="23" xfId="0" applyFont="1" applyBorder="1" applyAlignment="1">
      <alignment/>
    </xf>
    <xf numFmtId="0" fontId="3" fillId="33" borderId="25" xfId="0" applyFont="1" applyFill="1" applyBorder="1" applyAlignment="1">
      <alignment/>
    </xf>
    <xf numFmtId="0" fontId="3" fillId="0" borderId="26" xfId="0" applyFont="1" applyBorder="1" applyAlignment="1">
      <alignment/>
    </xf>
    <xf numFmtId="0" fontId="3" fillId="33" borderId="27" xfId="0" applyFont="1" applyFill="1" applyBorder="1" applyAlignment="1">
      <alignment/>
    </xf>
    <xf numFmtId="0" fontId="10" fillId="0" borderId="0" xfId="0" applyFont="1" applyBorder="1" applyAlignment="1">
      <alignment wrapText="1"/>
    </xf>
    <xf numFmtId="183" fontId="10" fillId="0" borderId="10" xfId="0" applyNumberFormat="1" applyFont="1" applyBorder="1" applyAlignment="1">
      <alignment/>
    </xf>
    <xf numFmtId="176" fontId="10" fillId="0" borderId="28" xfId="57" applyNumberFormat="1" applyFont="1" applyBorder="1" applyAlignment="1">
      <alignment/>
    </xf>
    <xf numFmtId="0" fontId="10" fillId="0" borderId="29" xfId="0" applyFont="1" applyBorder="1" applyAlignment="1">
      <alignment/>
    </xf>
    <xf numFmtId="0" fontId="3" fillId="0" borderId="30" xfId="0" applyFont="1" applyBorder="1" applyAlignment="1">
      <alignment horizontal="left" vertical="top" wrapText="1"/>
    </xf>
    <xf numFmtId="0" fontId="3" fillId="0" borderId="10" xfId="0" applyFont="1" applyBorder="1" applyAlignment="1">
      <alignment vertical="top" wrapText="1"/>
    </xf>
    <xf numFmtId="0" fontId="3" fillId="0" borderId="16" xfId="0" applyFont="1" applyBorder="1" applyAlignment="1">
      <alignment/>
    </xf>
    <xf numFmtId="2" fontId="3" fillId="0" borderId="10" xfId="0" applyNumberFormat="1" applyFont="1" applyBorder="1" applyAlignment="1">
      <alignment/>
    </xf>
    <xf numFmtId="2" fontId="3" fillId="0" borderId="0" xfId="0" applyNumberFormat="1" applyFont="1" applyAlignment="1">
      <alignment/>
    </xf>
    <xf numFmtId="183" fontId="3" fillId="0" borderId="10" xfId="0" applyNumberFormat="1" applyFont="1" applyBorder="1" applyAlignment="1">
      <alignment wrapText="1"/>
    </xf>
    <xf numFmtId="0" fontId="7" fillId="0" borderId="10" xfId="0" applyFont="1" applyBorder="1" applyAlignment="1">
      <alignment vertical="top" wrapText="1"/>
    </xf>
    <xf numFmtId="0" fontId="3" fillId="0" borderId="24" xfId="0" applyFont="1" applyBorder="1" applyAlignment="1">
      <alignment horizontal="left"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left" vertical="top" wrapText="1"/>
    </xf>
    <xf numFmtId="0" fontId="6" fillId="33" borderId="31" xfId="0" applyFont="1" applyFill="1" applyBorder="1" applyAlignment="1">
      <alignment wrapText="1"/>
    </xf>
    <xf numFmtId="0" fontId="6" fillId="33" borderId="10" xfId="0" applyFont="1" applyFill="1" applyBorder="1" applyAlignment="1">
      <alignment wrapText="1"/>
    </xf>
    <xf numFmtId="0" fontId="3" fillId="0" borderId="0" xfId="0" applyFont="1" applyAlignment="1">
      <alignment horizontal="left" vertical="top" wrapText="1"/>
    </xf>
    <xf numFmtId="0" fontId="3" fillId="33" borderId="32" xfId="0" applyFont="1" applyFill="1" applyBorder="1" applyAlignment="1">
      <alignment horizontal="left" vertical="top" wrapText="1"/>
    </xf>
    <xf numFmtId="0" fontId="3" fillId="0" borderId="32" xfId="0" applyFont="1" applyBorder="1" applyAlignment="1">
      <alignment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16" xfId="0" applyFont="1" applyBorder="1" applyAlignment="1">
      <alignment horizontal="left" vertical="top" wrapText="1"/>
    </xf>
    <xf numFmtId="0" fontId="3" fillId="0" borderId="33" xfId="0" applyFont="1" applyBorder="1" applyAlignment="1">
      <alignment wrapText="1"/>
    </xf>
    <xf numFmtId="0" fontId="3" fillId="0" borderId="34" xfId="0" applyFont="1" applyBorder="1" applyAlignment="1">
      <alignment wrapText="1"/>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3" xfId="0" applyFont="1" applyBorder="1" applyAlignment="1">
      <alignment/>
    </xf>
    <xf numFmtId="0" fontId="3" fillId="0" borderId="34" xfId="0" applyFont="1" applyBorder="1" applyAlignment="1">
      <alignment/>
    </xf>
    <xf numFmtId="0" fontId="3" fillId="0" borderId="34" xfId="0" applyFont="1" applyBorder="1" applyAlignment="1">
      <alignment horizontal="left" vertical="top"/>
    </xf>
    <xf numFmtId="9" fontId="10" fillId="32" borderId="0" xfId="57" applyFont="1" applyFill="1" applyBorder="1" applyAlignment="1">
      <alignment/>
    </xf>
    <xf numFmtId="9" fontId="10" fillId="32" borderId="16" xfId="57" applyFont="1" applyFill="1" applyBorder="1" applyAlignment="1">
      <alignment/>
    </xf>
    <xf numFmtId="9" fontId="10" fillId="32" borderId="14" xfId="57" applyFont="1" applyFill="1" applyBorder="1" applyAlignment="1">
      <alignment/>
    </xf>
    <xf numFmtId="0" fontId="12" fillId="32" borderId="14" xfId="0" applyFont="1" applyFill="1" applyBorder="1" applyAlignment="1">
      <alignment/>
    </xf>
    <xf numFmtId="0" fontId="3" fillId="0" borderId="11" xfId="0" applyFont="1" applyBorder="1" applyAlignment="1">
      <alignment horizontal="left"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36" xfId="0" applyFont="1" applyFill="1" applyBorder="1" applyAlignment="1">
      <alignment horizontal="left" vertical="top" wrapText="1"/>
    </xf>
    <xf numFmtId="183" fontId="3" fillId="0" borderId="10" xfId="0" applyNumberFormat="1" applyFont="1" applyBorder="1" applyAlignment="1">
      <alignment horizontal="left" vertical="top" wrapText="1"/>
    </xf>
    <xf numFmtId="0" fontId="3" fillId="33" borderId="10"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1" fontId="3" fillId="0" borderId="0" xfId="0" applyNumberFormat="1" applyFont="1" applyBorder="1" applyAlignment="1">
      <alignment horizontal="left" vertical="top" wrapText="1"/>
    </xf>
    <xf numFmtId="183" fontId="3" fillId="0" borderId="0" xfId="0" applyNumberFormat="1" applyFont="1" applyBorder="1" applyAlignment="1">
      <alignment horizontal="left" vertical="top" wrapText="1"/>
    </xf>
    <xf numFmtId="0" fontId="3" fillId="0" borderId="39" xfId="0" applyFont="1" applyBorder="1" applyAlignment="1">
      <alignment horizontal="left" vertical="top" wrapText="1"/>
    </xf>
    <xf numFmtId="1" fontId="3" fillId="0" borderId="39" xfId="0" applyNumberFormat="1" applyFont="1" applyBorder="1" applyAlignment="1">
      <alignment horizontal="left" vertical="top" wrapText="1"/>
    </xf>
    <xf numFmtId="183" fontId="3" fillId="0" borderId="39" xfId="0" applyNumberFormat="1" applyFont="1" applyBorder="1" applyAlignment="1">
      <alignment horizontal="left" vertical="top" wrapText="1"/>
    </xf>
    <xf numFmtId="183" fontId="3" fillId="0" borderId="0" xfId="0" applyNumberFormat="1" applyFont="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1" fontId="3" fillId="0" borderId="10" xfId="0" applyNumberFormat="1" applyFont="1" applyBorder="1" applyAlignment="1">
      <alignment horizontal="left" vertical="top" wrapText="1"/>
    </xf>
    <xf numFmtId="1" fontId="3" fillId="0" borderId="0" xfId="0" applyNumberFormat="1" applyFont="1" applyAlignment="1">
      <alignment horizontal="left" vertical="top" wrapText="1"/>
    </xf>
    <xf numFmtId="9" fontId="3" fillId="0" borderId="0" xfId="57" applyFont="1" applyAlignment="1">
      <alignment horizontal="left" vertical="top" wrapText="1"/>
    </xf>
    <xf numFmtId="176" fontId="3" fillId="0" borderId="0" xfId="57" applyNumberFormat="1" applyFont="1" applyAlignment="1">
      <alignment horizontal="left" vertical="top" wrapText="1"/>
    </xf>
    <xf numFmtId="9" fontId="3" fillId="0" borderId="10" xfId="57" applyFont="1" applyBorder="1" applyAlignment="1">
      <alignment horizontal="left" vertical="top" wrapText="1"/>
    </xf>
    <xf numFmtId="1" fontId="10" fillId="0" borderId="10" xfId="0" applyNumberFormat="1" applyFont="1" applyBorder="1" applyAlignment="1">
      <alignment/>
    </xf>
    <xf numFmtId="0" fontId="5" fillId="0" borderId="0" xfId="0" applyFont="1" applyAlignment="1">
      <alignment/>
    </xf>
    <xf numFmtId="0" fontId="6" fillId="32" borderId="0" xfId="0" applyFont="1" applyFill="1" applyAlignment="1">
      <alignment horizontal="left" vertical="top" wrapText="1"/>
    </xf>
    <xf numFmtId="183" fontId="6" fillId="32" borderId="0" xfId="0" applyNumberFormat="1" applyFont="1" applyFill="1" applyAlignment="1">
      <alignment horizontal="left" vertical="top" wrapText="1"/>
    </xf>
    <xf numFmtId="0" fontId="3" fillId="0" borderId="35" xfId="0" applyFont="1" applyBorder="1" applyAlignment="1">
      <alignment/>
    </xf>
    <xf numFmtId="0" fontId="3" fillId="0" borderId="22" xfId="0" applyFont="1" applyBorder="1" applyAlignment="1">
      <alignment/>
    </xf>
    <xf numFmtId="9" fontId="10" fillId="0" borderId="0" xfId="57" applyFont="1" applyAlignment="1">
      <alignment/>
    </xf>
    <xf numFmtId="0" fontId="10" fillId="0" borderId="20" xfId="0" applyFont="1" applyBorder="1" applyAlignment="1">
      <alignment wrapText="1"/>
    </xf>
    <xf numFmtId="0" fontId="52" fillId="32" borderId="0" xfId="0" applyFont="1" applyFill="1" applyBorder="1" applyAlignment="1">
      <alignment/>
    </xf>
    <xf numFmtId="0" fontId="10" fillId="32" borderId="0" xfId="0" applyFont="1" applyFill="1" applyBorder="1" applyAlignment="1">
      <alignment/>
    </xf>
    <xf numFmtId="0" fontId="10" fillId="32" borderId="0" xfId="0" applyFont="1" applyFill="1" applyAlignment="1">
      <alignment/>
    </xf>
    <xf numFmtId="9" fontId="3" fillId="0" borderId="10" xfId="0" applyNumberFormat="1" applyFont="1" applyBorder="1" applyAlignment="1">
      <alignment/>
    </xf>
    <xf numFmtId="0" fontId="3" fillId="0" borderId="10" xfId="0" applyFont="1" applyBorder="1" applyAlignment="1">
      <alignment horizontal="left" wrapText="1"/>
    </xf>
    <xf numFmtId="9" fontId="4" fillId="0" borderId="0" xfId="57" applyFont="1" applyAlignment="1">
      <alignment/>
    </xf>
    <xf numFmtId="183" fontId="3" fillId="0" borderId="0" xfId="0" applyNumberFormat="1" applyFont="1" applyAlignment="1">
      <alignment wrapText="1"/>
    </xf>
    <xf numFmtId="0" fontId="5" fillId="33" borderId="10" xfId="0" applyFont="1" applyFill="1" applyBorder="1" applyAlignment="1">
      <alignment horizontal="left" vertical="top" wrapText="1"/>
    </xf>
    <xf numFmtId="0" fontId="53" fillId="33" borderId="10" xfId="0" applyFont="1" applyFill="1" applyBorder="1" applyAlignment="1">
      <alignment horizontal="left" vertical="top" wrapText="1"/>
    </xf>
    <xf numFmtId="0" fontId="3" fillId="32" borderId="10" xfId="0" applyFont="1" applyFill="1" applyBorder="1" applyAlignment="1">
      <alignment/>
    </xf>
    <xf numFmtId="0" fontId="52" fillId="0" borderId="11" xfId="0" applyFont="1" applyBorder="1" applyAlignment="1">
      <alignment/>
    </xf>
    <xf numFmtId="0" fontId="3" fillId="0" borderId="10" xfId="0" applyNumberFormat="1" applyFont="1" applyBorder="1" applyAlignment="1">
      <alignment/>
    </xf>
    <xf numFmtId="0" fontId="3" fillId="36" borderId="10" xfId="0" applyFont="1" applyFill="1" applyBorder="1" applyAlignment="1">
      <alignment vertical="top" wrapText="1"/>
    </xf>
    <xf numFmtId="0" fontId="5" fillId="0" borderId="10" xfId="0" applyFont="1" applyBorder="1" applyAlignment="1">
      <alignment horizontal="left" vertical="top" wrapText="1"/>
    </xf>
    <xf numFmtId="0" fontId="53" fillId="0" borderId="0" xfId="0" applyFont="1" applyAlignment="1">
      <alignment/>
    </xf>
    <xf numFmtId="9" fontId="3" fillId="0" borderId="0" xfId="57" applyFont="1" applyAlignment="1">
      <alignment/>
    </xf>
    <xf numFmtId="1" fontId="3" fillId="0" borderId="0" xfId="0" applyNumberFormat="1" applyFont="1" applyAlignment="1">
      <alignment/>
    </xf>
    <xf numFmtId="183" fontId="3" fillId="0" borderId="0" xfId="0" applyNumberFormat="1" applyFont="1" applyAlignment="1">
      <alignment/>
    </xf>
    <xf numFmtId="0" fontId="3" fillId="0" borderId="10" xfId="0" applyFont="1" applyBorder="1" applyAlignment="1">
      <alignment horizontal="left"/>
    </xf>
    <xf numFmtId="0" fontId="3" fillId="0" borderId="0" xfId="0" applyFont="1" applyBorder="1" applyAlignment="1">
      <alignment vertical="top" wrapText="1"/>
    </xf>
    <xf numFmtId="0" fontId="3" fillId="32" borderId="10" xfId="0" applyFont="1" applyFill="1" applyBorder="1" applyAlignment="1">
      <alignment wrapText="1"/>
    </xf>
    <xf numFmtId="9" fontId="3" fillId="0" borderId="0" xfId="57" applyFont="1" applyBorder="1" applyAlignment="1">
      <alignment/>
    </xf>
    <xf numFmtId="0" fontId="5" fillId="0" borderId="10" xfId="0" applyFont="1" applyBorder="1" applyAlignment="1">
      <alignment vertical="top" wrapText="1"/>
    </xf>
    <xf numFmtId="0" fontId="10" fillId="0" borderId="37" xfId="0" applyFont="1" applyBorder="1" applyAlignment="1">
      <alignment/>
    </xf>
    <xf numFmtId="0" fontId="10" fillId="0" borderId="39" xfId="0" applyFont="1" applyBorder="1" applyAlignment="1">
      <alignment/>
    </xf>
    <xf numFmtId="176" fontId="10" fillId="0" borderId="37" xfId="57" applyNumberFormat="1" applyFont="1" applyBorder="1" applyAlignment="1">
      <alignment/>
    </xf>
    <xf numFmtId="180" fontId="10" fillId="0" borderId="39" xfId="0" applyNumberFormat="1" applyFont="1" applyBorder="1" applyAlignment="1">
      <alignment/>
    </xf>
    <xf numFmtId="2" fontId="10" fillId="0" borderId="39" xfId="0" applyNumberFormat="1" applyFont="1" applyBorder="1" applyAlignment="1">
      <alignment/>
    </xf>
    <xf numFmtId="9" fontId="10" fillId="0" borderId="39" xfId="57" applyFont="1" applyBorder="1" applyAlignment="1">
      <alignment/>
    </xf>
    <xf numFmtId="0" fontId="10" fillId="0" borderId="40" xfId="0" applyFont="1" applyBorder="1" applyAlignment="1">
      <alignment/>
    </xf>
    <xf numFmtId="0" fontId="10" fillId="0" borderId="41" xfId="0" applyFont="1" applyBorder="1" applyAlignment="1">
      <alignment/>
    </xf>
    <xf numFmtId="0" fontId="5" fillId="0" borderId="10" xfId="0" applyFont="1" applyBorder="1" applyAlignment="1">
      <alignment wrapText="1"/>
    </xf>
    <xf numFmtId="0" fontId="54" fillId="36" borderId="0" xfId="0" applyFont="1" applyFill="1" applyBorder="1" applyAlignment="1">
      <alignment horizontal="left" vertical="top" wrapText="1"/>
    </xf>
    <xf numFmtId="0" fontId="3" fillId="0" borderId="14" xfId="0" applyFont="1" applyBorder="1" applyAlignment="1">
      <alignment/>
    </xf>
    <xf numFmtId="0" fontId="3" fillId="0" borderId="14" xfId="0" applyFont="1" applyBorder="1" applyAlignment="1">
      <alignment wrapText="1"/>
    </xf>
    <xf numFmtId="0" fontId="5" fillId="0" borderId="33" xfId="0" applyFont="1" applyBorder="1" applyAlignment="1">
      <alignment horizontal="left" vertical="top" wrapText="1"/>
    </xf>
    <xf numFmtId="0" fontId="5" fillId="0" borderId="23" xfId="0" applyFont="1" applyBorder="1" applyAlignment="1">
      <alignment horizontal="left" vertical="top" wrapText="1"/>
    </xf>
    <xf numFmtId="0" fontId="0" fillId="0" borderId="22" xfId="0" applyBorder="1" applyAlignment="1">
      <alignment/>
    </xf>
    <xf numFmtId="0" fontId="0" fillId="0" borderId="34" xfId="0" applyBorder="1" applyAlignment="1">
      <alignment/>
    </xf>
    <xf numFmtId="181" fontId="3" fillId="0" borderId="10" xfId="0" applyNumberFormat="1" applyFont="1" applyBorder="1" applyAlignment="1">
      <alignment/>
    </xf>
    <xf numFmtId="0" fontId="0" fillId="0" borderId="0" xfId="0" applyBorder="1" applyAlignment="1">
      <alignment/>
    </xf>
    <xf numFmtId="0" fontId="54" fillId="0" borderId="10" xfId="0" applyFont="1" applyFill="1" applyBorder="1" applyAlignment="1">
      <alignment horizontal="left" vertical="top" wrapText="1"/>
    </xf>
    <xf numFmtId="0" fontId="3" fillId="0" borderId="16" xfId="0" applyFont="1" applyBorder="1" applyAlignment="1">
      <alignment vertical="top" wrapText="1"/>
    </xf>
    <xf numFmtId="0" fontId="3" fillId="0" borderId="16" xfId="0" applyFont="1" applyBorder="1" applyAlignment="1">
      <alignment wrapText="1"/>
    </xf>
    <xf numFmtId="0" fontId="54" fillId="0" borderId="16" xfId="0" applyFont="1" applyBorder="1" applyAlignment="1">
      <alignment horizontal="left" vertical="top" wrapText="1"/>
    </xf>
    <xf numFmtId="9" fontId="3" fillId="0" borderId="33" xfId="0" applyNumberFormat="1" applyFont="1" applyBorder="1" applyAlignment="1">
      <alignment horizontal="left" vertical="top"/>
    </xf>
    <xf numFmtId="0" fontId="3" fillId="0" borderId="16" xfId="0" applyFont="1" applyBorder="1" applyAlignment="1">
      <alignment horizontal="left" wrapText="1"/>
    </xf>
    <xf numFmtId="0" fontId="54" fillId="36" borderId="37" xfId="0" applyFont="1" applyFill="1" applyBorder="1" applyAlignment="1">
      <alignment horizontal="left" vertical="top" wrapText="1"/>
    </xf>
    <xf numFmtId="0" fontId="54" fillId="0" borderId="10" xfId="0" applyFont="1" applyBorder="1" applyAlignment="1">
      <alignment horizontal="left" vertical="top" wrapText="1"/>
    </xf>
    <xf numFmtId="0" fontId="54" fillId="0" borderId="10" xfId="0" applyFont="1" applyBorder="1" applyAlignment="1">
      <alignment/>
    </xf>
    <xf numFmtId="2" fontId="3" fillId="0" borderId="10" xfId="0" applyNumberFormat="1" applyFont="1" applyBorder="1" applyAlignment="1">
      <alignment horizontal="left" vertical="top" wrapText="1"/>
    </xf>
    <xf numFmtId="2" fontId="10" fillId="0" borderId="37" xfId="0" applyNumberFormat="1" applyFont="1" applyBorder="1" applyAlignment="1">
      <alignment/>
    </xf>
    <xf numFmtId="0" fontId="4" fillId="37" borderId="0" xfId="0" applyFont="1" applyFill="1" applyAlignment="1">
      <alignment/>
    </xf>
    <xf numFmtId="0" fontId="4" fillId="38" borderId="0" xfId="0" applyFont="1" applyFill="1" applyAlignment="1">
      <alignment/>
    </xf>
    <xf numFmtId="0" fontId="4" fillId="0" borderId="0" xfId="0" applyFont="1" applyAlignment="1" quotePrefix="1">
      <alignment/>
    </xf>
    <xf numFmtId="0" fontId="16" fillId="0" borderId="0" xfId="0" applyFont="1" applyAlignment="1">
      <alignment/>
    </xf>
    <xf numFmtId="2" fontId="3" fillId="0" borderId="10" xfId="0" applyNumberFormat="1" applyFont="1" applyBorder="1" applyAlignment="1">
      <alignment vertical="top" wrapText="1"/>
    </xf>
    <xf numFmtId="0" fontId="3" fillId="0" borderId="10" xfId="0" applyFont="1" applyBorder="1" applyAlignment="1">
      <alignment horizontal="center" wrapText="1"/>
    </xf>
    <xf numFmtId="0" fontId="3" fillId="33" borderId="11" xfId="0" applyFont="1" applyFill="1" applyBorder="1" applyAlignment="1">
      <alignment horizontal="center" vertical="top" wrapText="1"/>
    </xf>
    <xf numFmtId="0" fontId="3" fillId="33" borderId="36"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36" xfId="0" applyFont="1" applyBorder="1" applyAlignment="1">
      <alignment horizontal="left" vertical="top" wrapText="1"/>
    </xf>
    <xf numFmtId="0" fontId="3" fillId="0" borderId="42" xfId="0" applyFont="1" applyBorder="1" applyAlignment="1">
      <alignment horizontal="left" vertical="top" wrapText="1"/>
    </xf>
    <xf numFmtId="0" fontId="5" fillId="0" borderId="10" xfId="0" applyFont="1" applyBorder="1" applyAlignment="1">
      <alignment horizontal="center"/>
    </xf>
    <xf numFmtId="0" fontId="3" fillId="0" borderId="12" xfId="0" applyFont="1" applyBorder="1" applyAlignment="1">
      <alignment horizontal="left" vertical="top" wrapText="1"/>
    </xf>
    <xf numFmtId="0" fontId="3" fillId="33" borderId="11" xfId="0" applyFont="1" applyFill="1" applyBorder="1" applyAlignment="1">
      <alignment horizontal="center"/>
    </xf>
    <xf numFmtId="0" fontId="3" fillId="33" borderId="36" xfId="0" applyFont="1" applyFill="1" applyBorder="1" applyAlignment="1">
      <alignment horizontal="center"/>
    </xf>
    <xf numFmtId="0" fontId="3" fillId="33" borderId="12" xfId="0" applyFont="1" applyFill="1" applyBorder="1" applyAlignment="1">
      <alignment horizontal="center"/>
    </xf>
    <xf numFmtId="0" fontId="3" fillId="0" borderId="26" xfId="0" applyFont="1" applyBorder="1" applyAlignment="1">
      <alignment horizontal="left" vertical="top" wrapText="1"/>
    </xf>
    <xf numFmtId="0" fontId="3" fillId="0" borderId="43" xfId="0" applyFont="1" applyBorder="1" applyAlignment="1">
      <alignment horizontal="left" vertical="top" wrapText="1"/>
    </xf>
    <xf numFmtId="0" fontId="5" fillId="36" borderId="25" xfId="0" applyFont="1" applyFill="1" applyBorder="1" applyAlignment="1">
      <alignment horizontal="center" vertical="top" wrapText="1"/>
    </xf>
    <xf numFmtId="0" fontId="5" fillId="36" borderId="27" xfId="0" applyFont="1" applyFill="1" applyBorder="1" applyAlignment="1">
      <alignment horizontal="center" vertical="top" wrapText="1"/>
    </xf>
    <xf numFmtId="0" fontId="5" fillId="36" borderId="44" xfId="0" applyFont="1" applyFill="1" applyBorder="1" applyAlignment="1">
      <alignment horizontal="center" vertical="top" wrapText="1"/>
    </xf>
    <xf numFmtId="0" fontId="3" fillId="0" borderId="23" xfId="0" applyFont="1" applyBorder="1" applyAlignment="1">
      <alignment horizontal="left" wrapText="1"/>
    </xf>
    <xf numFmtId="0" fontId="3" fillId="0" borderId="10" xfId="0" applyFont="1" applyBorder="1" applyAlignment="1">
      <alignment horizontal="left" wrapText="1"/>
    </xf>
    <xf numFmtId="0" fontId="3" fillId="0" borderId="45" xfId="0" applyFont="1" applyBorder="1" applyAlignment="1">
      <alignment horizontal="left"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0" borderId="48" xfId="0" applyFont="1" applyFill="1" applyBorder="1" applyAlignment="1">
      <alignment horizontal="left" wrapText="1"/>
    </xf>
    <xf numFmtId="0" fontId="3" fillId="0" borderId="21" xfId="0" applyFont="1" applyFill="1" applyBorder="1" applyAlignment="1">
      <alignment horizontal="left" wrapText="1"/>
    </xf>
    <xf numFmtId="0" fontId="3" fillId="0" borderId="0" xfId="0" applyFont="1" applyAlignment="1">
      <alignment horizontal="center"/>
    </xf>
    <xf numFmtId="0" fontId="3" fillId="0" borderId="10" xfId="0" applyFont="1" applyBorder="1" applyAlignment="1">
      <alignment horizontal="center"/>
    </xf>
    <xf numFmtId="0" fontId="3" fillId="33" borderId="10" xfId="0" applyFont="1" applyFill="1" applyBorder="1" applyAlignment="1">
      <alignment horizontal="center"/>
    </xf>
    <xf numFmtId="0" fontId="5" fillId="0" borderId="0" xfId="0" applyFont="1" applyAlignment="1">
      <alignment horizontal="center" wrapText="1"/>
    </xf>
    <xf numFmtId="0" fontId="3" fillId="0" borderId="45" xfId="0" applyFont="1" applyBorder="1" applyAlignment="1">
      <alignment horizontal="left" vertical="top" wrapText="1"/>
    </xf>
    <xf numFmtId="0" fontId="3" fillId="0" borderId="23" xfId="0" applyFont="1" applyBorder="1" applyAlignment="1">
      <alignment horizontal="left" vertical="top" wrapText="1"/>
    </xf>
    <xf numFmtId="0" fontId="3" fillId="0" borderId="36" xfId="0" applyFont="1" applyBorder="1" applyAlignment="1">
      <alignment horizontal="left" vertical="top"/>
    </xf>
    <xf numFmtId="0" fontId="3" fillId="0" borderId="42" xfId="0" applyFont="1" applyBorder="1" applyAlignment="1">
      <alignment horizontal="left" vertical="top"/>
    </xf>
    <xf numFmtId="0" fontId="3" fillId="0" borderId="11" xfId="0" applyFont="1" applyBorder="1" applyAlignment="1">
      <alignment horizontal="center"/>
    </xf>
    <xf numFmtId="0" fontId="3" fillId="0" borderId="42" xfId="0" applyFont="1" applyBorder="1" applyAlignment="1">
      <alignment horizontal="center"/>
    </xf>
    <xf numFmtId="0" fontId="3" fillId="36" borderId="27" xfId="0" applyFont="1" applyFill="1" applyBorder="1" applyAlignment="1">
      <alignment horizontal="center"/>
    </xf>
    <xf numFmtId="0" fontId="3" fillId="36" borderId="44" xfId="0" applyFont="1" applyFill="1" applyBorder="1" applyAlignment="1">
      <alignment horizontal="center"/>
    </xf>
    <xf numFmtId="0" fontId="3" fillId="0" borderId="45" xfId="0" applyFont="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26" xfId="0" applyFont="1" applyBorder="1" applyAlignment="1">
      <alignment horizontal="center"/>
    </xf>
    <xf numFmtId="0" fontId="3" fillId="0" borderId="43" xfId="0" applyFont="1" applyBorder="1" applyAlignment="1">
      <alignment horizontal="center"/>
    </xf>
    <xf numFmtId="0" fontId="3" fillId="0" borderId="19" xfId="0" applyFont="1" applyBorder="1" applyAlignment="1">
      <alignment horizontal="center" vertical="top"/>
    </xf>
    <xf numFmtId="0" fontId="3" fillId="0" borderId="10" xfId="0" applyFont="1" applyBorder="1" applyAlignment="1">
      <alignment horizontal="center" vertical="top" wrapText="1"/>
    </xf>
    <xf numFmtId="0" fontId="10" fillId="0" borderId="11" xfId="0" applyFont="1" applyBorder="1" applyAlignment="1">
      <alignment horizontal="center"/>
    </xf>
    <xf numFmtId="0" fontId="10" fillId="0" borderId="36"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vertical="top"/>
    </xf>
    <xf numFmtId="0" fontId="10" fillId="0" borderId="36" xfId="0" applyFont="1" applyBorder="1" applyAlignment="1">
      <alignment horizontal="center" vertical="top"/>
    </xf>
    <xf numFmtId="0" fontId="10" fillId="33" borderId="49" xfId="0" applyFont="1" applyFill="1" applyBorder="1" applyAlignment="1">
      <alignment horizontal="center"/>
    </xf>
    <xf numFmtId="0" fontId="10" fillId="33" borderId="35" xfId="0" applyFont="1" applyFill="1" applyBorder="1" applyAlignment="1">
      <alignment horizontal="center"/>
    </xf>
    <xf numFmtId="0" fontId="10" fillId="34" borderId="50" xfId="0" applyFont="1" applyFill="1" applyBorder="1" applyAlignment="1">
      <alignment horizontal="center"/>
    </xf>
    <xf numFmtId="0" fontId="10" fillId="34" borderId="49" xfId="0" applyFont="1" applyFill="1" applyBorder="1" applyAlignment="1">
      <alignment horizontal="center"/>
    </xf>
    <xf numFmtId="0" fontId="10" fillId="0" borderId="51" xfId="0" applyFont="1" applyBorder="1" applyAlignment="1">
      <alignment horizontal="center"/>
    </xf>
    <xf numFmtId="0" fontId="10" fillId="0" borderId="52" xfId="0" applyFont="1" applyBorder="1" applyAlignment="1">
      <alignment horizontal="center"/>
    </xf>
    <xf numFmtId="0" fontId="54" fillId="36" borderId="0" xfId="0" applyFont="1" applyFill="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center"/>
    </xf>
    <xf numFmtId="0" fontId="3" fillId="0" borderId="0" xfId="0" applyFont="1" applyFill="1" applyBorder="1" applyAlignment="1">
      <alignment horizontal="left" vertical="top" wrapText="1"/>
    </xf>
    <xf numFmtId="0" fontId="3" fillId="33" borderId="36" xfId="0" applyFont="1" applyFill="1" applyBorder="1" applyAlignment="1">
      <alignment horizontal="left" vertical="top" wrapText="1"/>
    </xf>
    <xf numFmtId="0" fontId="3" fillId="0" borderId="0" xfId="0" applyFont="1" applyBorder="1" applyAlignment="1">
      <alignment horizontal="left" vertical="top" wrapText="1"/>
    </xf>
    <xf numFmtId="0" fontId="3" fillId="33" borderId="10" xfId="0" applyFont="1" applyFill="1" applyBorder="1" applyAlignment="1">
      <alignment horizontal="left" vertical="top" wrapText="1"/>
    </xf>
    <xf numFmtId="0" fontId="54" fillId="32" borderId="37" xfId="0" applyFont="1" applyFill="1" applyBorder="1" applyAlignment="1">
      <alignment horizontal="center" vertical="top" wrapText="1"/>
    </xf>
    <xf numFmtId="0" fontId="54" fillId="32" borderId="0" xfId="0" applyFont="1" applyFill="1" applyAlignment="1">
      <alignment horizontal="center" vertical="top" wrapText="1"/>
    </xf>
    <xf numFmtId="0" fontId="54" fillId="36" borderId="37" xfId="0" applyFont="1" applyFill="1" applyBorder="1" applyAlignment="1">
      <alignment horizontal="left" vertical="top" wrapText="1"/>
    </xf>
    <xf numFmtId="0" fontId="54" fillId="36" borderId="0" xfId="0" applyFont="1" applyFill="1" applyBorder="1" applyAlignment="1">
      <alignment horizontal="left" vertical="top" wrapText="1"/>
    </xf>
    <xf numFmtId="0" fontId="54" fillId="32"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69"/>
  <sheetViews>
    <sheetView tabSelected="1" zoomScalePageLayoutView="0" workbookViewId="0" topLeftCell="A1">
      <pane ySplit="2" topLeftCell="A3" activePane="bottomLeft" state="frozen"/>
      <selection pane="topLeft" activeCell="A1" sqref="A1"/>
      <selection pane="bottomLeft" activeCell="A5" sqref="A5"/>
    </sheetView>
  </sheetViews>
  <sheetFormatPr defaultColWidth="9.125" defaultRowHeight="13.5"/>
  <cols>
    <col min="1" max="1" width="23.875" style="4" customWidth="1"/>
    <col min="2" max="2" width="6.25390625" style="4" customWidth="1"/>
    <col min="3" max="3" width="6.375" style="4" customWidth="1"/>
    <col min="4" max="4" width="6.50390625" style="4" bestFit="1" customWidth="1"/>
    <col min="5" max="5" width="6.25390625" style="4" customWidth="1"/>
    <col min="6" max="6" width="5.50390625" style="4" bestFit="1" customWidth="1"/>
    <col min="7" max="9" width="5.75390625" style="4" bestFit="1" customWidth="1"/>
    <col min="10" max="10" width="5.50390625" style="4" bestFit="1" customWidth="1"/>
    <col min="11" max="12" width="5.75390625" style="4" bestFit="1" customWidth="1"/>
    <col min="13" max="13" width="6.00390625" style="4" customWidth="1"/>
    <col min="14" max="14" width="61.25390625" style="4" customWidth="1"/>
    <col min="15" max="18" width="9.125" style="2" customWidth="1"/>
    <col min="19" max="16384" width="9.125" style="4" customWidth="1"/>
  </cols>
  <sheetData>
    <row r="1" spans="1:14" ht="12.75">
      <c r="A1" s="12" t="s">
        <v>24</v>
      </c>
      <c r="B1" s="201" t="s">
        <v>66</v>
      </c>
      <c r="C1" s="202"/>
      <c r="D1" s="202"/>
      <c r="E1" s="202"/>
      <c r="F1" s="202"/>
      <c r="G1" s="202"/>
      <c r="H1" s="202"/>
      <c r="I1" s="202"/>
      <c r="J1" s="202"/>
      <c r="K1" s="202"/>
      <c r="L1" s="202"/>
      <c r="M1" s="203"/>
      <c r="N1" s="12" t="s">
        <v>25</v>
      </c>
    </row>
    <row r="2" spans="1:14" ht="12.75">
      <c r="A2" s="1"/>
      <c r="B2" s="1">
        <v>2002</v>
      </c>
      <c r="C2" s="1">
        <f>B2+1</f>
        <v>2003</v>
      </c>
      <c r="D2" s="1">
        <f>C2+1</f>
        <v>2004</v>
      </c>
      <c r="E2" s="1">
        <f aca="true" t="shared" si="0" ref="E2:L2">D2+1</f>
        <v>2005</v>
      </c>
      <c r="F2" s="1">
        <f t="shared" si="0"/>
        <v>2006</v>
      </c>
      <c r="G2" s="1">
        <f t="shared" si="0"/>
        <v>2007</v>
      </c>
      <c r="H2" s="1">
        <f t="shared" si="0"/>
        <v>2008</v>
      </c>
      <c r="I2" s="1">
        <f t="shared" si="0"/>
        <v>2009</v>
      </c>
      <c r="J2" s="1">
        <f t="shared" si="0"/>
        <v>2010</v>
      </c>
      <c r="K2" s="1">
        <f t="shared" si="0"/>
        <v>2011</v>
      </c>
      <c r="L2" s="1">
        <f t="shared" si="0"/>
        <v>2012</v>
      </c>
      <c r="M2" s="1">
        <v>2013</v>
      </c>
      <c r="N2" s="8"/>
    </row>
    <row r="3" spans="1:14" ht="25.5">
      <c r="A3" s="5" t="s">
        <v>26</v>
      </c>
      <c r="B3" s="7">
        <v>0.08</v>
      </c>
      <c r="C3" s="7">
        <v>0.09</v>
      </c>
      <c r="D3" s="7">
        <v>0.11</v>
      </c>
      <c r="E3" s="7">
        <v>0.11</v>
      </c>
      <c r="F3" s="7">
        <f>30/200</f>
        <v>0.15</v>
      </c>
      <c r="G3" s="6">
        <v>0.24</v>
      </c>
      <c r="H3" s="6">
        <v>0.21</v>
      </c>
      <c r="I3" s="6">
        <v>0.36</v>
      </c>
      <c r="J3" s="6">
        <v>0.43</v>
      </c>
      <c r="K3" s="7">
        <v>0.4</v>
      </c>
      <c r="L3" s="7">
        <v>0.42</v>
      </c>
      <c r="M3" s="7">
        <f>250/878</f>
        <v>0.2847380410022779</v>
      </c>
      <c r="N3" s="71" t="s">
        <v>744</v>
      </c>
    </row>
    <row r="4" spans="1:14" ht="12.75">
      <c r="A4" s="5" t="s">
        <v>616</v>
      </c>
      <c r="B4" s="7"/>
      <c r="C4" s="7">
        <f aca="true" t="shared" si="1" ref="C4:K4">C15*C11</f>
        <v>0.03596757852077001</v>
      </c>
      <c r="D4" s="7">
        <f t="shared" si="1"/>
        <v>0.058059165053912086</v>
      </c>
      <c r="E4" s="7">
        <f t="shared" si="1"/>
        <v>0.05654048873981792</v>
      </c>
      <c r="F4" s="7">
        <f t="shared" si="1"/>
        <v>0.07297494526879104</v>
      </c>
      <c r="G4" s="7">
        <f t="shared" si="1"/>
        <v>0.1064598385040374</v>
      </c>
      <c r="H4" s="7">
        <f t="shared" si="1"/>
        <v>0.07848256796191061</v>
      </c>
      <c r="I4" s="7">
        <f t="shared" si="1"/>
        <v>0.13325116406463983</v>
      </c>
      <c r="J4" s="7">
        <f t="shared" si="1"/>
        <v>0.18657389511660868</v>
      </c>
      <c r="K4" s="7">
        <f t="shared" si="1"/>
        <v>0.18566878980891718</v>
      </c>
      <c r="L4" s="7">
        <f>L15*L11</f>
        <v>0.28030303030303033</v>
      </c>
      <c r="M4" s="7">
        <f>M15*M11</f>
        <v>0.22012934518997573</v>
      </c>
      <c r="N4" s="71"/>
    </row>
    <row r="5" spans="1:14" ht="32.25" customHeight="1">
      <c r="A5" s="8" t="s">
        <v>424</v>
      </c>
      <c r="B5" s="88">
        <v>1.75</v>
      </c>
      <c r="C5" s="88">
        <v>1.31</v>
      </c>
      <c r="D5" s="88">
        <v>1.03</v>
      </c>
      <c r="E5" s="88">
        <v>1.2</v>
      </c>
      <c r="F5" s="88">
        <v>1.2</v>
      </c>
      <c r="G5" s="86">
        <v>1.46</v>
      </c>
      <c r="H5" s="86">
        <v>1.8</v>
      </c>
      <c r="I5" s="11">
        <v>1.46</v>
      </c>
      <c r="J5" s="11">
        <v>1.03</v>
      </c>
      <c r="K5" s="86">
        <v>1.05</v>
      </c>
      <c r="L5" s="86">
        <v>0.54</v>
      </c>
      <c r="M5" s="86">
        <f>460/878</f>
        <v>0.5239179954441914</v>
      </c>
      <c r="N5" s="71" t="s">
        <v>968</v>
      </c>
    </row>
    <row r="6" spans="1:14" ht="12.75">
      <c r="A6" s="1" t="s">
        <v>32</v>
      </c>
      <c r="B6" s="11">
        <f>B13/2938</f>
        <v>2.0238257317903336</v>
      </c>
      <c r="C6" s="11">
        <f>C13/3117</f>
        <v>2.236445299967918</v>
      </c>
      <c r="D6" s="11">
        <f>D13/2816</f>
        <v>2.8359375</v>
      </c>
      <c r="E6" s="11">
        <f>E13/2975</f>
        <v>2.7700840336134456</v>
      </c>
      <c r="F6" s="11">
        <f>F13/3236</f>
        <v>3.0491347342398023</v>
      </c>
      <c r="G6" s="11">
        <f>G13/3356</f>
        <v>3.481227651966627</v>
      </c>
      <c r="H6" s="11">
        <f>H13/4611</f>
        <v>2.860767729342876</v>
      </c>
      <c r="I6" s="11">
        <f>I13/5402</f>
        <v>3.0746019992595337</v>
      </c>
      <c r="J6" s="11">
        <f>J13/5611</f>
        <v>3.603457494207806</v>
      </c>
      <c r="K6" s="11">
        <f>K13/7420</f>
        <v>3.3340970350404313</v>
      </c>
      <c r="L6" s="11">
        <f>L13/7380</f>
        <v>4.022222222222222</v>
      </c>
      <c r="M6" s="11">
        <f>(M13)/10600</f>
        <v>3.2140566037735847</v>
      </c>
      <c r="N6" s="71" t="s">
        <v>965</v>
      </c>
    </row>
    <row r="7" spans="1:17" ht="12.75">
      <c r="A7" s="1" t="s">
        <v>33</v>
      </c>
      <c r="B7" s="11" t="s">
        <v>4</v>
      </c>
      <c r="C7" s="11">
        <f>C13/831</f>
        <v>8.388688327316487</v>
      </c>
      <c r="D7" s="11">
        <f>D13/801</f>
        <v>9.97003745318352</v>
      </c>
      <c r="E7" s="11">
        <f>E13/1199</f>
        <v>6.8732276897414515</v>
      </c>
      <c r="F7" s="11">
        <f>F13/875</f>
        <v>11.276571428571428</v>
      </c>
      <c r="G7" s="11">
        <f>G13/1350</f>
        <v>8.654074074074074</v>
      </c>
      <c r="H7" s="11">
        <f>H13/1900</f>
        <v>6.942631578947369</v>
      </c>
      <c r="I7" s="11">
        <f>I13/1900</f>
        <v>8.74157894736842</v>
      </c>
      <c r="J7" s="11">
        <f>J13/2150</f>
        <v>9.404186046511628</v>
      </c>
      <c r="K7" s="11">
        <f>K13/2000</f>
        <v>12.3695</v>
      </c>
      <c r="L7" s="11">
        <f>L13/1200</f>
        <v>24.736666666666668</v>
      </c>
      <c r="M7" s="11">
        <f>(M13)/1770</f>
        <v>19.248022598870058</v>
      </c>
      <c r="N7" s="71" t="s">
        <v>960</v>
      </c>
      <c r="Q7" s="2">
        <f>808-386</f>
        <v>422</v>
      </c>
    </row>
    <row r="8" spans="1:17" ht="12.75">
      <c r="A8" s="1" t="s">
        <v>94</v>
      </c>
      <c r="B8" s="11" t="s">
        <v>4</v>
      </c>
      <c r="C8" s="11">
        <f>C13/453</f>
        <v>15.388520971302428</v>
      </c>
      <c r="D8" s="11">
        <f>D13/561</f>
        <v>14.235294117647058</v>
      </c>
      <c r="E8" s="11">
        <f>E13/746</f>
        <v>11.046916890080428</v>
      </c>
      <c r="F8" s="11">
        <f>F13/982</f>
        <v>10.04786150712831</v>
      </c>
      <c r="G8" s="11">
        <f>G13/1102</f>
        <v>10.6016333938294</v>
      </c>
      <c r="H8" s="11">
        <f>H13/1566</f>
        <v>8.423371647509578</v>
      </c>
      <c r="I8" s="11">
        <f>I13/1400</f>
        <v>11.86357142857143</v>
      </c>
      <c r="J8" s="11">
        <f>J13/1900</f>
        <v>10.641578947368421</v>
      </c>
      <c r="K8" s="86">
        <f>K13/2450</f>
        <v>10.097551020408163</v>
      </c>
      <c r="L8" s="86">
        <f>L13/2200</f>
        <v>13.492727272727272</v>
      </c>
      <c r="M8" s="86">
        <f>(M13/3660)</f>
        <v>9.308469945355192</v>
      </c>
      <c r="N8" s="71" t="s">
        <v>966</v>
      </c>
      <c r="Q8" s="2">
        <f>670-Q7</f>
        <v>248</v>
      </c>
    </row>
    <row r="9" spans="1:14" ht="12.75">
      <c r="A9" s="1" t="s">
        <v>163</v>
      </c>
      <c r="B9" s="11" t="s">
        <v>4</v>
      </c>
      <c r="C9" s="11">
        <f>C13/824</f>
        <v>8.45995145631068</v>
      </c>
      <c r="D9" s="11">
        <f>D13/801</f>
        <v>9.97003745318352</v>
      </c>
      <c r="E9" s="11">
        <f>E13/899</f>
        <v>9.166852057842046</v>
      </c>
      <c r="F9" s="11">
        <f>F13/1118</f>
        <v>8.825581395348838</v>
      </c>
      <c r="G9" s="11">
        <f>G13/1252</f>
        <v>9.331469648562301</v>
      </c>
      <c r="H9" s="11">
        <f>H13/1368</f>
        <v>9.642543859649123</v>
      </c>
      <c r="I9" s="11">
        <f>I13/1152</f>
        <v>14.417534722222221</v>
      </c>
      <c r="J9" s="11">
        <f>J13/1310</f>
        <v>15.434351145038168</v>
      </c>
      <c r="K9" s="87">
        <f>K13/1530</f>
        <v>16.169281045751635</v>
      </c>
      <c r="L9" s="87">
        <f>L13/1716</f>
        <v>17.2983682983683</v>
      </c>
      <c r="M9" s="87">
        <f>(M13)/2031</f>
        <v>16.77449532250123</v>
      </c>
      <c r="N9" s="71" t="s">
        <v>4</v>
      </c>
    </row>
    <row r="10" spans="1:14" ht="12.75">
      <c r="A10" s="1" t="s">
        <v>34</v>
      </c>
      <c r="B10" s="86">
        <f>255/184</f>
        <v>1.3858695652173914</v>
      </c>
      <c r="C10" s="86">
        <f>190/107</f>
        <v>1.7757009345794392</v>
      </c>
      <c r="D10" s="86">
        <f>194/114</f>
        <v>1.7017543859649122</v>
      </c>
      <c r="E10" s="86">
        <f>230/110</f>
        <v>2.090909090909091</v>
      </c>
      <c r="F10" s="86">
        <f>260/170</f>
        <v>1.5294117647058822</v>
      </c>
      <c r="G10" s="11">
        <v>1</v>
      </c>
      <c r="H10" s="11">
        <v>1</v>
      </c>
      <c r="I10" s="11">
        <v>1</v>
      </c>
      <c r="J10" s="11">
        <f>538/473</f>
        <v>1.1374207188160677</v>
      </c>
      <c r="K10" s="11">
        <v>1</v>
      </c>
      <c r="L10" s="11">
        <v>1</v>
      </c>
      <c r="M10" s="11"/>
      <c r="N10" s="71"/>
    </row>
    <row r="11" spans="1:14" ht="25.5">
      <c r="A11" s="5" t="s">
        <v>91</v>
      </c>
      <c r="B11" s="86" t="s">
        <v>4</v>
      </c>
      <c r="C11" s="86">
        <f aca="true" t="shared" si="2" ref="C11:M11">C13/(C13/C6+C13/C7)</f>
        <v>1.7657041540020264</v>
      </c>
      <c r="D11" s="86">
        <f t="shared" si="2"/>
        <v>2.207907105335914</v>
      </c>
      <c r="E11" s="86">
        <f t="shared" si="2"/>
        <v>1.9743651173933876</v>
      </c>
      <c r="F11" s="86">
        <f t="shared" si="2"/>
        <v>2.4001459498905375</v>
      </c>
      <c r="G11" s="86">
        <f t="shared" si="2"/>
        <v>2.4825754356141094</v>
      </c>
      <c r="H11" s="86">
        <f t="shared" si="2"/>
        <v>2.0259560743357397</v>
      </c>
      <c r="I11" s="86">
        <f t="shared" si="2"/>
        <v>2.2745823062174746</v>
      </c>
      <c r="J11" s="86">
        <f t="shared" si="2"/>
        <v>2.6052055147532536</v>
      </c>
      <c r="K11" s="86">
        <f t="shared" si="2"/>
        <v>2.626220806794055</v>
      </c>
      <c r="L11" s="86">
        <f t="shared" si="2"/>
        <v>3.4596736596736597</v>
      </c>
      <c r="M11" s="86">
        <f t="shared" si="2"/>
        <v>2.7541632983023443</v>
      </c>
      <c r="N11" s="71" t="s">
        <v>743</v>
      </c>
    </row>
    <row r="12" spans="1:14" ht="12.75">
      <c r="A12" s="1" t="s">
        <v>479</v>
      </c>
      <c r="B12" s="1"/>
      <c r="C12" s="1"/>
      <c r="D12" s="1"/>
      <c r="E12" s="1"/>
      <c r="F12" s="1"/>
      <c r="G12" s="1"/>
      <c r="H12" s="1"/>
      <c r="I12" s="1"/>
      <c r="J12" s="1"/>
      <c r="K12" s="1"/>
      <c r="L12" s="1"/>
      <c r="M12" s="1">
        <f>2800+1600</f>
        <v>4400</v>
      </c>
      <c r="N12" s="71" t="s">
        <v>969</v>
      </c>
    </row>
    <row r="13" spans="1:17" ht="25.5">
      <c r="A13" s="152" t="s">
        <v>195</v>
      </c>
      <c r="B13" s="152">
        <v>5946</v>
      </c>
      <c r="C13" s="152">
        <v>6971</v>
      </c>
      <c r="D13" s="152">
        <v>7986</v>
      </c>
      <c r="E13" s="152">
        <v>8241</v>
      </c>
      <c r="F13" s="152">
        <v>9867</v>
      </c>
      <c r="G13" s="152">
        <v>11683</v>
      </c>
      <c r="H13" s="152">
        <v>13191</v>
      </c>
      <c r="I13" s="152">
        <v>16609</v>
      </c>
      <c r="J13" s="152">
        <v>20219</v>
      </c>
      <c r="K13" s="152">
        <v>24739</v>
      </c>
      <c r="L13" s="152">
        <v>29684</v>
      </c>
      <c r="M13" s="152">
        <v>34069</v>
      </c>
      <c r="N13" s="71" t="s">
        <v>785</v>
      </c>
      <c r="Q13" s="2" t="s">
        <v>4</v>
      </c>
    </row>
    <row r="14" spans="1:14" ht="12.75">
      <c r="A14" s="1" t="s">
        <v>27</v>
      </c>
      <c r="B14" s="1"/>
      <c r="C14" s="7">
        <f aca="true" t="shared" si="3" ref="C14:M14">(C13-B13)/B13</f>
        <v>0.17238479650184999</v>
      </c>
      <c r="D14" s="7">
        <f t="shared" si="3"/>
        <v>0.14560321331229378</v>
      </c>
      <c r="E14" s="7">
        <f t="shared" si="3"/>
        <v>0.03193087903831705</v>
      </c>
      <c r="F14" s="7">
        <f t="shared" si="3"/>
        <v>0.19730615216599928</v>
      </c>
      <c r="G14" s="7">
        <f t="shared" si="3"/>
        <v>0.18404783622174928</v>
      </c>
      <c r="H14" s="7">
        <f t="shared" si="3"/>
        <v>0.1290764358469571</v>
      </c>
      <c r="I14" s="7">
        <f t="shared" si="3"/>
        <v>0.25911606398301873</v>
      </c>
      <c r="J14" s="7">
        <f t="shared" si="3"/>
        <v>0.21735203805165873</v>
      </c>
      <c r="K14" s="7">
        <f t="shared" si="3"/>
        <v>0.22355210445620455</v>
      </c>
      <c r="L14" s="7">
        <f t="shared" si="3"/>
        <v>0.19988681838392822</v>
      </c>
      <c r="M14" s="7">
        <f t="shared" si="3"/>
        <v>0.1477226788842474</v>
      </c>
      <c r="N14" s="71" t="s">
        <v>957</v>
      </c>
    </row>
    <row r="15" spans="1:14" ht="25.5">
      <c r="A15" s="1" t="s">
        <v>29</v>
      </c>
      <c r="B15" s="7">
        <f>111/B13</f>
        <v>0.01866801210898083</v>
      </c>
      <c r="C15" s="7">
        <f>142/C13</f>
        <v>0.02037010471955243</v>
      </c>
      <c r="D15" s="7">
        <f>210/D13</f>
        <v>0.02629601803155522</v>
      </c>
      <c r="E15" s="7">
        <f>236/E13</f>
        <v>0.02863730129838612</v>
      </c>
      <c r="F15" s="7">
        <f>300/F13</f>
        <v>0.030404378230465188</v>
      </c>
      <c r="G15" s="9">
        <f>501/G13</f>
        <v>0.04288282119318668</v>
      </c>
      <c r="H15" s="9">
        <f>511/H13</f>
        <v>0.038738533848836326</v>
      </c>
      <c r="I15" s="9">
        <f>973/I13</f>
        <v>0.05858269612860497</v>
      </c>
      <c r="J15" s="7">
        <f>1448/J13</f>
        <v>0.07161580691428854</v>
      </c>
      <c r="K15" s="7">
        <f>1749/K13</f>
        <v>0.0706980880391285</v>
      </c>
      <c r="L15" s="7">
        <f>2405/L13</f>
        <v>0.08102007815658267</v>
      </c>
      <c r="M15" s="7">
        <f>2723/M13</f>
        <v>0.07992603246352989</v>
      </c>
      <c r="N15" s="71" t="s">
        <v>958</v>
      </c>
    </row>
    <row r="16" spans="1:14" ht="12.75">
      <c r="A16" s="1" t="s">
        <v>620</v>
      </c>
      <c r="B16" s="10">
        <f>879/B13</f>
        <v>0.14783047426841575</v>
      </c>
      <c r="C16" s="7">
        <f>877/C13</f>
        <v>0.12580691435948932</v>
      </c>
      <c r="D16" s="7">
        <f>890/D13</f>
        <v>0.1114450288004007</v>
      </c>
      <c r="E16" s="7">
        <f>900/E13</f>
        <v>0.10921004732435384</v>
      </c>
      <c r="F16" s="7">
        <f>1019/F13</f>
        <v>0.10327353805614675</v>
      </c>
      <c r="G16" s="7">
        <f>1362/G13</f>
        <v>0.1165796456389626</v>
      </c>
      <c r="H16" s="7">
        <f>1527/H13</f>
        <v>0.11576074596315669</v>
      </c>
      <c r="I16" s="7">
        <f>2469/I13</f>
        <v>0.148654344030345</v>
      </c>
      <c r="J16" s="7">
        <f>3055/J13</f>
        <v>0.15109550422869578</v>
      </c>
      <c r="K16" s="7">
        <f>3670/K13</f>
        <v>0.14834876106552408</v>
      </c>
      <c r="L16" s="7">
        <f>4828/L13</f>
        <v>0.16264654359250774</v>
      </c>
      <c r="M16" s="7">
        <f>5393/M13</f>
        <v>0.15829639848542662</v>
      </c>
      <c r="N16" s="71" t="s">
        <v>959</v>
      </c>
    </row>
    <row r="17" spans="1:14" ht="12.75">
      <c r="A17" s="1" t="s">
        <v>28</v>
      </c>
      <c r="B17" s="5"/>
      <c r="C17" s="7">
        <f>(C15*C13-B15*B13)/(B15*B13)</f>
        <v>0.2792792792792791</v>
      </c>
      <c r="D17" s="7">
        <f>(D15*D13-C15*C13)/(C15*C13)</f>
        <v>0.4788732394366197</v>
      </c>
      <c r="E17" s="7">
        <f>(E15*E13-D15*D13)/(D15*D13)</f>
        <v>0.12380952380952381</v>
      </c>
      <c r="F17" s="7">
        <f>(F15*F13-D15*D13)/(D15*D13)</f>
        <v>0.42857142857142855</v>
      </c>
      <c r="G17" s="7">
        <f aca="true" t="shared" si="4" ref="G17:M17">(G15*G13-F15*F13)/(F15*F13)</f>
        <v>0.67</v>
      </c>
      <c r="H17" s="7">
        <f t="shared" si="4"/>
        <v>0.01996007984031936</v>
      </c>
      <c r="I17" s="7">
        <f t="shared" si="4"/>
        <v>0.9041095890410958</v>
      </c>
      <c r="J17" s="7">
        <f t="shared" si="4"/>
        <v>0.4881808838643371</v>
      </c>
      <c r="K17" s="7">
        <f t="shared" si="4"/>
        <v>0.2078729281767956</v>
      </c>
      <c r="L17" s="7">
        <f t="shared" si="4"/>
        <v>0.37507146941109204</v>
      </c>
      <c r="M17" s="7">
        <f t="shared" si="4"/>
        <v>0.13222453222453223</v>
      </c>
      <c r="N17" s="71" t="s">
        <v>786</v>
      </c>
    </row>
    <row r="18" spans="1:17" ht="12.75">
      <c r="A18" s="1" t="s">
        <v>31</v>
      </c>
      <c r="B18" s="10">
        <f>1364/B13</f>
        <v>0.22939791456441305</v>
      </c>
      <c r="C18" s="10">
        <f>4462/C13</f>
        <v>0.6400803328073447</v>
      </c>
      <c r="D18" s="10">
        <f>5295/D13</f>
        <v>0.6630353117956423</v>
      </c>
      <c r="E18" s="7">
        <f>5402/E13</f>
        <v>0.6555029729401771</v>
      </c>
      <c r="F18" s="7">
        <f>6518/F13</f>
        <v>0.6605857910205736</v>
      </c>
      <c r="G18" s="7">
        <f>7795/G13</f>
        <v>0.6672087648720363</v>
      </c>
      <c r="H18" s="7">
        <f>8674/H13</f>
        <v>0.657569554999621</v>
      </c>
      <c r="I18" s="7">
        <f>10541/I13</f>
        <v>0.6346559094466855</v>
      </c>
      <c r="J18" s="7">
        <f>13164/J13</f>
        <v>0.6510707750136011</v>
      </c>
      <c r="K18" s="10">
        <f>(15760+858-197-463)/K13</f>
        <v>0.6450543675977202</v>
      </c>
      <c r="L18" s="7">
        <f>(18448+1034+131-463)/L13</f>
        <v>0.6451286888559493</v>
      </c>
      <c r="M18" s="7">
        <f>(22410+1228-628)/M13</f>
        <v>0.6753940532448853</v>
      </c>
      <c r="N18" s="71" t="s">
        <v>967</v>
      </c>
      <c r="Q18" s="2" t="s">
        <v>4</v>
      </c>
    </row>
    <row r="19" spans="1:17" ht="25.5">
      <c r="A19" s="1" t="s">
        <v>350</v>
      </c>
      <c r="B19" s="7" t="s">
        <v>4</v>
      </c>
      <c r="C19" s="7">
        <f>1644/C13-C20</f>
        <v>0.2014058241285325</v>
      </c>
      <c r="D19" s="7">
        <f>1812/D13-D20</f>
        <v>0.19496619083395944</v>
      </c>
      <c r="E19" s="7">
        <f>1937/E13-E20</f>
        <v>0.19985438660356752</v>
      </c>
      <c r="F19" s="7">
        <f>2329/F13-F20</f>
        <v>0.2015810276679842</v>
      </c>
      <c r="G19" s="7">
        <f>2524/G13-G20</f>
        <v>0.1818026191902765</v>
      </c>
      <c r="H19" s="7">
        <f>2989/H13-H20</f>
        <v>0.1856568872716246</v>
      </c>
      <c r="I19" s="7">
        <f>3629/I13-I20</f>
        <v>0.17815642121741226</v>
      </c>
      <c r="J19" s="7">
        <f>(4009-780)/J13</f>
        <v>0.15970127108165585</v>
      </c>
      <c r="K19" s="7">
        <f>(3730+460)/K13</f>
        <v>0.16936820405028497</v>
      </c>
      <c r="L19" s="7">
        <f>4650/L13</f>
        <v>0.15665004716345507</v>
      </c>
      <c r="M19" s="7">
        <f>(1275+4397)/M13</f>
        <v>0.16648566145175966</v>
      </c>
      <c r="N19" s="184" t="s">
        <v>784</v>
      </c>
      <c r="Q19" s="2" t="s">
        <v>4</v>
      </c>
    </row>
    <row r="20" spans="1:14" ht="12.75">
      <c r="A20" s="1" t="s">
        <v>351</v>
      </c>
      <c r="B20" s="7" t="s">
        <v>4</v>
      </c>
      <c r="C20" s="7">
        <f>240/C13</f>
        <v>0.03442834600487735</v>
      </c>
      <c r="D20" s="7">
        <f>255/D13</f>
        <v>0.03193087903831705</v>
      </c>
      <c r="E20" s="7">
        <f>290/E13</f>
        <v>0.035189904137847346</v>
      </c>
      <c r="F20" s="7">
        <f>340/F13</f>
        <v>0.034458295327860544</v>
      </c>
      <c r="G20" s="7">
        <f>400/G13</f>
        <v>0.034237781391765816</v>
      </c>
      <c r="H20" s="7">
        <f>540/H13</f>
        <v>0.04093700250170571</v>
      </c>
      <c r="I20" s="7">
        <f>670/I13</f>
        <v>0.040339574929255224</v>
      </c>
      <c r="J20" s="7">
        <f>780/J13</f>
        <v>0.03857757554775212</v>
      </c>
      <c r="K20" s="7">
        <f>964/K13</f>
        <v>0.03896681353328752</v>
      </c>
      <c r="L20" s="7">
        <f>1120/L13</f>
        <v>0.037730764047971974</v>
      </c>
      <c r="M20" s="7">
        <f>1275/M13</f>
        <v>0.03742405119023159</v>
      </c>
      <c r="N20" s="71" t="s">
        <v>740</v>
      </c>
    </row>
    <row r="21" spans="1:14" ht="12.75">
      <c r="A21" s="1" t="s">
        <v>219</v>
      </c>
      <c r="B21" s="10">
        <f>334/B13</f>
        <v>0.05617221661621258</v>
      </c>
      <c r="C21" s="7">
        <f>364/C13</f>
        <v>0.05221632477406398</v>
      </c>
      <c r="D21" s="7">
        <f>413/D13</f>
        <v>0.05171550212872527</v>
      </c>
      <c r="E21" s="7">
        <f>392/E13</f>
        <v>0.04756704283460745</v>
      </c>
      <c r="F21" s="7">
        <f>413/F13</f>
        <v>0.04185669403060707</v>
      </c>
      <c r="G21" s="7">
        <f>402/G13</f>
        <v>0.03440897029872464</v>
      </c>
      <c r="H21" s="7">
        <f>395/H13</f>
        <v>0.029944659237358805</v>
      </c>
      <c r="I21" s="7">
        <f>525/I13</f>
        <v>0.031609368414714914</v>
      </c>
      <c r="J21" s="7">
        <f>529/J13</f>
        <v>0.02616350957020624</v>
      </c>
      <c r="K21" s="7">
        <f>628/K13</f>
        <v>0.025385019604672782</v>
      </c>
      <c r="L21" s="7">
        <f>724/L13</f>
        <v>0.024390243902439025</v>
      </c>
      <c r="M21" s="7">
        <f>817/M13</f>
        <v>0.023980744958760163</v>
      </c>
      <c r="N21" s="71" t="s">
        <v>741</v>
      </c>
    </row>
    <row r="22" spans="1:14" ht="12.75">
      <c r="A22" s="1" t="s">
        <v>30</v>
      </c>
      <c r="B22" s="7">
        <f>423/B13</f>
        <v>0.07114026236125126</v>
      </c>
      <c r="C22" s="7">
        <f>327/C13</f>
        <v>0.04690862143164539</v>
      </c>
      <c r="D22" s="7">
        <f>256/D13</f>
        <v>0.03205609817180065</v>
      </c>
      <c r="E22" s="7">
        <f>250/E13</f>
        <v>0.030336124256764956</v>
      </c>
      <c r="F22" s="7">
        <f>269/F13</f>
        <v>0.027262592479983784</v>
      </c>
      <c r="G22" s="7">
        <f>330/G13</f>
        <v>0.028246169648206795</v>
      </c>
      <c r="H22" s="7">
        <f>389/H13</f>
        <v>0.02948980365400652</v>
      </c>
      <c r="I22" s="7">
        <f>545/I13</f>
        <v>0.03281353483051358</v>
      </c>
      <c r="J22" s="7">
        <f>330/J13</f>
        <v>0.01632128196251051</v>
      </c>
      <c r="K22" s="7">
        <f>425/K13</f>
        <v>0.017179352439468047</v>
      </c>
      <c r="L22" s="7">
        <f>547/L13</f>
        <v>0.018427435655572026</v>
      </c>
      <c r="M22" s="7">
        <f>523/M13</f>
        <v>0.015351199037247939</v>
      </c>
      <c r="N22" s="71" t="s">
        <v>742</v>
      </c>
    </row>
    <row r="23" spans="1:14" ht="12.75">
      <c r="A23" s="1" t="s">
        <v>441</v>
      </c>
      <c r="B23" s="10"/>
      <c r="C23" s="10"/>
      <c r="D23" s="10"/>
      <c r="E23" s="10"/>
      <c r="F23" s="10"/>
      <c r="G23" s="7"/>
      <c r="H23" s="7"/>
      <c r="I23" s="7"/>
      <c r="J23" s="7"/>
      <c r="K23" s="10"/>
      <c r="L23" s="10"/>
      <c r="M23" s="10"/>
      <c r="N23" s="71"/>
    </row>
    <row r="24" spans="1:14" ht="12.75">
      <c r="A24" s="1" t="s">
        <v>312</v>
      </c>
      <c r="B24" s="10">
        <f>9/121</f>
        <v>0.0743801652892562</v>
      </c>
      <c r="C24" s="7">
        <f>3/18</f>
        <v>0.16666666666666666</v>
      </c>
      <c r="D24" s="7">
        <f>1/22</f>
        <v>0.045454545454545456</v>
      </c>
      <c r="E24" s="7">
        <f>2/25</f>
        <v>0.08</v>
      </c>
      <c r="F24" s="7">
        <f>6/33</f>
        <v>0.18181818181818182</v>
      </c>
      <c r="G24" s="7">
        <f>13/63</f>
        <v>0.20634920634920634</v>
      </c>
      <c r="H24" s="7">
        <f>23/74</f>
        <v>0.3108108108108108</v>
      </c>
      <c r="I24" s="7">
        <f>42/139</f>
        <v>0.302158273381295</v>
      </c>
      <c r="J24" s="7">
        <f>74/219</f>
        <v>0.3378995433789954</v>
      </c>
      <c r="K24" s="7">
        <f>87/261</f>
        <v>0.3333333333333333</v>
      </c>
      <c r="L24" s="7">
        <f>115/355</f>
        <v>0.323943661971831</v>
      </c>
      <c r="M24" s="7">
        <f>132/401</f>
        <v>0.32917705735660846</v>
      </c>
      <c r="N24" s="71"/>
    </row>
    <row r="25" spans="1:14" ht="12.75">
      <c r="A25" s="1" t="s">
        <v>289</v>
      </c>
      <c r="B25" s="10"/>
      <c r="C25" s="10"/>
      <c r="D25" s="10"/>
      <c r="E25" s="10"/>
      <c r="F25" s="10"/>
      <c r="G25" s="10">
        <f>7.5/18</f>
        <v>0.4166666666666667</v>
      </c>
      <c r="H25" s="10">
        <f>8/18</f>
        <v>0.4444444444444444</v>
      </c>
      <c r="I25" s="10">
        <f>12/38</f>
        <v>0.3157894736842105</v>
      </c>
      <c r="J25" s="10">
        <f>18/57</f>
        <v>0.3157894736842105</v>
      </c>
      <c r="K25" s="10">
        <f>57/174</f>
        <v>0.3275862068965517</v>
      </c>
      <c r="L25" s="10">
        <f>66/240</f>
        <v>0.275</v>
      </c>
      <c r="M25" s="10"/>
      <c r="N25" s="71"/>
    </row>
    <row r="26" spans="1:14" ht="12.75">
      <c r="A26" s="84" t="s">
        <v>336</v>
      </c>
      <c r="B26" s="84"/>
      <c r="C26" s="84"/>
      <c r="D26" s="84"/>
      <c r="E26" s="199">
        <f>13/23</f>
        <v>0.5652173913043478</v>
      </c>
      <c r="F26" s="84">
        <f>92/46</f>
        <v>2</v>
      </c>
      <c r="G26" s="11">
        <f>159/51</f>
        <v>3.1176470588235294</v>
      </c>
      <c r="H26" s="1">
        <f>105/51</f>
        <v>2.0588235294117645</v>
      </c>
      <c r="I26" s="1">
        <f>188/91</f>
        <v>2.065934065934066</v>
      </c>
      <c r="J26" s="86">
        <f>145/155</f>
        <v>0.9354838709677419</v>
      </c>
      <c r="K26" s="86">
        <f>169/195</f>
        <v>0.8666666666666667</v>
      </c>
      <c r="L26" s="1">
        <f>294/241</f>
        <v>1.2199170124481329</v>
      </c>
      <c r="M26" s="1">
        <f>294/241</f>
        <v>1.2199170124481329</v>
      </c>
      <c r="N26" s="71"/>
    </row>
    <row r="27" spans="1:14" ht="12.75">
      <c r="A27" s="1" t="s">
        <v>438</v>
      </c>
      <c r="B27" s="1"/>
      <c r="C27" s="10">
        <f aca="true" t="shared" si="5" ref="C27:M27">((C13/C6)-(B13/B6))/C13</f>
        <v>0.025677808061971022</v>
      </c>
      <c r="D27" s="10">
        <f t="shared" si="5"/>
        <v>-0.03769095917856249</v>
      </c>
      <c r="E27" s="10">
        <f t="shared" si="5"/>
        <v>0.019293775027302514</v>
      </c>
      <c r="F27" s="10">
        <f t="shared" si="5"/>
        <v>0.026451809060504712</v>
      </c>
      <c r="G27" s="10">
        <f t="shared" si="5"/>
        <v>0.010271334417529743</v>
      </c>
      <c r="H27" s="10">
        <f t="shared" si="5"/>
        <v>0.09514062618451975</v>
      </c>
      <c r="I27" s="10">
        <f t="shared" si="5"/>
        <v>0.047624781744837134</v>
      </c>
      <c r="J27" s="10">
        <f t="shared" si="5"/>
        <v>0.01033681190958999</v>
      </c>
      <c r="K27" s="10">
        <f t="shared" si="5"/>
        <v>0.07312340838352399</v>
      </c>
      <c r="L27" s="10">
        <f t="shared" si="5"/>
        <v>-0.0013475272874275705</v>
      </c>
      <c r="M27" s="10">
        <f t="shared" si="5"/>
        <v>0.09451407437846723</v>
      </c>
      <c r="N27" s="71"/>
    </row>
    <row r="28" spans="1:14" ht="12.75">
      <c r="A28" s="1" t="s">
        <v>439</v>
      </c>
      <c r="B28" s="1"/>
      <c r="C28" s="10" t="e">
        <f aca="true" t="shared" si="6" ref="C28:M28">((C13/C7)-(B13/B7))/C13</f>
        <v>#VALUE!</v>
      </c>
      <c r="D28" s="10">
        <f t="shared" si="6"/>
        <v>-0.0037565740045078745</v>
      </c>
      <c r="E28" s="10">
        <f t="shared" si="6"/>
        <v>0.04829510981676981</v>
      </c>
      <c r="F28" s="10">
        <f t="shared" si="6"/>
        <v>-0.03283672848890239</v>
      </c>
      <c r="G28" s="10">
        <f t="shared" si="6"/>
        <v>0.04065736540272189</v>
      </c>
      <c r="H28" s="10">
        <f t="shared" si="6"/>
        <v>0.041695095140626186</v>
      </c>
      <c r="I28" s="10">
        <f t="shared" si="6"/>
        <v>0</v>
      </c>
      <c r="J28" s="10">
        <f t="shared" si="6"/>
        <v>0.012364607547356446</v>
      </c>
      <c r="K28" s="10">
        <f t="shared" si="6"/>
        <v>-0.006063300860988722</v>
      </c>
      <c r="L28" s="10">
        <f t="shared" si="6"/>
        <v>-0.026950545748551408</v>
      </c>
      <c r="M28" s="10">
        <f t="shared" si="6"/>
        <v>0.01673075229680941</v>
      </c>
      <c r="N28" s="71"/>
    </row>
    <row r="29" spans="1:14" ht="12.75">
      <c r="A29" s="1" t="s">
        <v>448</v>
      </c>
      <c r="B29" s="1"/>
      <c r="C29" s="146" t="e">
        <f>C27+C28</f>
        <v>#VALUE!</v>
      </c>
      <c r="D29" s="146">
        <f>D27+D28</f>
        <v>-0.04144753318307036</v>
      </c>
      <c r="E29" s="146">
        <f>E27+E28</f>
        <v>0.06758888484407233</v>
      </c>
      <c r="F29" s="146">
        <f aca="true" t="shared" si="7" ref="F29:K29">F27+F28</f>
        <v>-0.006384919428397681</v>
      </c>
      <c r="G29" s="146">
        <f t="shared" si="7"/>
        <v>0.05092869982025164</v>
      </c>
      <c r="H29" s="146">
        <f t="shared" si="7"/>
        <v>0.13683572132514593</v>
      </c>
      <c r="I29" s="146">
        <f t="shared" si="7"/>
        <v>0.047624781744837134</v>
      </c>
      <c r="J29" s="146">
        <f t="shared" si="7"/>
        <v>0.022701419456946436</v>
      </c>
      <c r="K29" s="146">
        <f t="shared" si="7"/>
        <v>0.06706010752253527</v>
      </c>
      <c r="L29" s="146">
        <f>L27+L28</f>
        <v>-0.028298073035978977</v>
      </c>
      <c r="M29" s="146">
        <f>M27+M28</f>
        <v>0.11124482667527665</v>
      </c>
      <c r="N29" s="71"/>
    </row>
    <row r="30" spans="1:14" ht="12.75">
      <c r="A30" s="1" t="s">
        <v>449</v>
      </c>
      <c r="B30" s="1"/>
      <c r="C30" s="146" t="e">
        <f aca="true" t="shared" si="8" ref="C30:L30">C21/C29</f>
        <v>#VALUE!</v>
      </c>
      <c r="D30" s="146">
        <f t="shared" si="8"/>
        <v>-1.24773413897281</v>
      </c>
      <c r="E30" s="154">
        <f t="shared" si="8"/>
        <v>0.7037701974865349</v>
      </c>
      <c r="F30" s="146">
        <f t="shared" si="8"/>
        <v>-6.555555555555563</v>
      </c>
      <c r="G30" s="146">
        <f t="shared" si="8"/>
        <v>0.6756302521008404</v>
      </c>
      <c r="H30" s="146">
        <f t="shared" si="8"/>
        <v>0.2188365650969529</v>
      </c>
      <c r="I30" s="146">
        <f t="shared" si="8"/>
        <v>0.6637168141592921</v>
      </c>
      <c r="J30" s="146">
        <f t="shared" si="8"/>
        <v>1.1525054466230937</v>
      </c>
      <c r="K30" s="146">
        <f t="shared" si="8"/>
        <v>0.37854128993369496</v>
      </c>
      <c r="L30" s="146">
        <f t="shared" si="8"/>
        <v>-0.861904761904762</v>
      </c>
      <c r="M30" s="146">
        <f>M21/M29</f>
        <v>0.21556728232189973</v>
      </c>
      <c r="N30" s="71"/>
    </row>
    <row r="31" spans="1:14" ht="12.75">
      <c r="A31" s="1" t="s">
        <v>220</v>
      </c>
      <c r="B31" s="1"/>
      <c r="C31" s="146" t="e">
        <f aca="true" t="shared" si="9" ref="C31:K31">C15+C21-C29</f>
        <v>#VALUE!</v>
      </c>
      <c r="D31" s="146">
        <f t="shared" si="9"/>
        <v>0.11945905334335084</v>
      </c>
      <c r="E31" s="146">
        <f t="shared" si="9"/>
        <v>0.00861545928892124</v>
      </c>
      <c r="F31" s="146">
        <f t="shared" si="9"/>
        <v>0.07864599168946994</v>
      </c>
      <c r="G31" s="146">
        <f t="shared" si="9"/>
        <v>0.026363091671659677</v>
      </c>
      <c r="H31" s="146">
        <f t="shared" si="9"/>
        <v>-0.0681525282389508</v>
      </c>
      <c r="I31" s="146">
        <f t="shared" si="9"/>
        <v>0.04256728279848274</v>
      </c>
      <c r="J31" s="146">
        <f t="shared" si="9"/>
        <v>0.07507789702754834</v>
      </c>
      <c r="K31" s="146">
        <f t="shared" si="9"/>
        <v>0.029023000121266004</v>
      </c>
      <c r="L31" s="146">
        <f>L15+L21-L29</f>
        <v>0.13370839509500068</v>
      </c>
      <c r="M31" s="146">
        <f>M15+M21-M29</f>
        <v>-0.007338049252986589</v>
      </c>
      <c r="N31" s="71"/>
    </row>
    <row r="32" spans="1:14" ht="12.75">
      <c r="A32" s="1" t="s">
        <v>332</v>
      </c>
      <c r="B32" s="1"/>
      <c r="C32" s="1"/>
      <c r="D32" s="1"/>
      <c r="E32" s="1"/>
      <c r="F32" s="1"/>
      <c r="G32" s="1"/>
      <c r="H32" s="1"/>
      <c r="I32" s="1"/>
      <c r="J32" s="1"/>
      <c r="K32" s="1"/>
      <c r="L32" s="1"/>
      <c r="M32" s="1"/>
      <c r="N32" s="71"/>
    </row>
    <row r="33" spans="1:14" ht="12.75">
      <c r="A33" s="2"/>
      <c r="B33" s="2"/>
      <c r="C33" s="2"/>
      <c r="D33" s="2"/>
      <c r="E33" s="2"/>
      <c r="F33" s="2"/>
      <c r="G33" s="2"/>
      <c r="H33" s="2"/>
      <c r="I33" s="2"/>
      <c r="J33" s="2"/>
      <c r="K33" s="2"/>
      <c r="L33" s="2"/>
      <c r="M33" s="2"/>
      <c r="N33" s="2"/>
    </row>
    <row r="34" spans="1:14" ht="12.75">
      <c r="A34" s="2" t="s">
        <v>622</v>
      </c>
      <c r="B34" s="2" t="s">
        <v>628</v>
      </c>
      <c r="C34" s="2" t="s">
        <v>450</v>
      </c>
      <c r="D34" s="2" t="s">
        <v>627</v>
      </c>
      <c r="E34" s="2"/>
      <c r="F34" s="2"/>
      <c r="G34" s="2"/>
      <c r="H34" s="2"/>
      <c r="I34" s="2"/>
      <c r="J34" s="2"/>
      <c r="K34" s="2"/>
      <c r="L34" s="2"/>
      <c r="M34" s="2"/>
      <c r="N34" s="2"/>
    </row>
    <row r="35" spans="1:14" ht="12.75">
      <c r="A35" s="4" t="s">
        <v>623</v>
      </c>
      <c r="B35" s="2">
        <f>SUM(G49:L49)</f>
        <v>7587</v>
      </c>
      <c r="C35" s="2"/>
      <c r="D35" s="2"/>
      <c r="E35" s="2"/>
      <c r="F35" s="2"/>
      <c r="G35" s="2"/>
      <c r="H35" s="2"/>
      <c r="I35" s="2"/>
      <c r="J35" s="2"/>
      <c r="K35" s="2"/>
      <c r="L35" s="2"/>
      <c r="M35" s="2"/>
      <c r="N35" s="2"/>
    </row>
    <row r="36" spans="1:14" ht="12.75">
      <c r="A36" s="4" t="s">
        <v>624</v>
      </c>
      <c r="B36" s="2">
        <f>SUM(G50:L50)</f>
        <v>3203</v>
      </c>
      <c r="C36" s="2"/>
      <c r="D36" s="2"/>
      <c r="E36" s="2"/>
      <c r="F36" s="2"/>
      <c r="G36" s="2"/>
      <c r="H36" s="2"/>
      <c r="I36" s="2"/>
      <c r="J36" s="2"/>
      <c r="K36" s="2"/>
      <c r="L36" s="2"/>
      <c r="M36" s="2" t="s">
        <v>4</v>
      </c>
      <c r="N36" s="2"/>
    </row>
    <row r="37" spans="1:14" ht="12.75">
      <c r="A37" s="4" t="s">
        <v>629</v>
      </c>
      <c r="B37" s="2">
        <v>0</v>
      </c>
      <c r="C37" s="2"/>
      <c r="D37" s="164">
        <f>B37/($B$35+$B$36)</f>
        <v>0</v>
      </c>
      <c r="E37" s="2" t="s">
        <v>4</v>
      </c>
      <c r="F37" s="2"/>
      <c r="G37" s="2"/>
      <c r="H37" s="2"/>
      <c r="I37" s="2"/>
      <c r="J37" s="2"/>
      <c r="K37" s="2"/>
      <c r="L37" s="2"/>
      <c r="M37" s="2"/>
      <c r="N37" s="2"/>
    </row>
    <row r="38" spans="1:14" ht="12.75">
      <c r="A38" s="4" t="s">
        <v>630</v>
      </c>
      <c r="B38" s="2">
        <v>7800</v>
      </c>
      <c r="C38" s="2"/>
      <c r="D38" s="164">
        <f>B38/($B$35+$B$36)</f>
        <v>0.7228915662650602</v>
      </c>
      <c r="E38" s="2"/>
      <c r="F38" s="2"/>
      <c r="G38" s="2"/>
      <c r="H38" s="2"/>
      <c r="I38" s="2"/>
      <c r="J38" s="2"/>
      <c r="K38" s="2"/>
      <c r="L38" s="2" t="s">
        <v>4</v>
      </c>
      <c r="M38" s="2" t="s">
        <v>4</v>
      </c>
      <c r="N38" s="2"/>
    </row>
    <row r="39" spans="1:12" ht="12.75">
      <c r="A39" s="4" t="s">
        <v>631</v>
      </c>
      <c r="B39" s="4">
        <v>0</v>
      </c>
      <c r="D39" s="164">
        <f>B39/($B$35+$B$36)</f>
        <v>0</v>
      </c>
      <c r="L39" s="4" t="s">
        <v>4</v>
      </c>
    </row>
    <row r="40" spans="1:4" ht="12.75">
      <c r="A40" s="4" t="s">
        <v>632</v>
      </c>
      <c r="B40" s="159">
        <f>SUM(G51:L51)</f>
        <v>2434.710702762654</v>
      </c>
      <c r="D40" s="164">
        <f>B40/($B$35+$B$36)</f>
        <v>0.22564510683620517</v>
      </c>
    </row>
    <row r="41" spans="1:4" ht="12.75">
      <c r="A41" s="4" t="s">
        <v>633</v>
      </c>
      <c r="B41" s="4">
        <v>330</v>
      </c>
      <c r="C41" s="4" t="s">
        <v>4</v>
      </c>
      <c r="D41" s="164">
        <f>B41/($B$37+$B$36)</f>
        <v>0.10302841086481423</v>
      </c>
    </row>
    <row r="42" spans="1:4" ht="12.75">
      <c r="A42" s="4" t="s">
        <v>634</v>
      </c>
      <c r="B42" s="4">
        <v>245</v>
      </c>
      <c r="D42" s="164">
        <f>B42/($B$35+$B$36)</f>
        <v>0.022706209453197405</v>
      </c>
    </row>
    <row r="43" spans="1:4" ht="12.75">
      <c r="A43" s="4" t="s">
        <v>625</v>
      </c>
      <c r="B43" s="159">
        <f>B35+B36-B37-B38-B39-B40-B42-B41</f>
        <v>-19.71070276265391</v>
      </c>
      <c r="C43" s="4" t="s">
        <v>4</v>
      </c>
      <c r="D43" s="164">
        <f>B43/($B$35+$B$36)</f>
        <v>-0.0018267565118307608</v>
      </c>
    </row>
    <row r="45" ht="12.75">
      <c r="A45" s="4" t="s">
        <v>4</v>
      </c>
    </row>
    <row r="47" ht="12.75">
      <c r="A47" s="4" t="s">
        <v>4</v>
      </c>
    </row>
    <row r="48" spans="1:13" ht="12.75">
      <c r="A48" s="4" t="s">
        <v>573</v>
      </c>
      <c r="B48" s="4">
        <f>B16*B13</f>
        <v>879.0000000000001</v>
      </c>
      <c r="C48" s="4">
        <f aca="true" t="shared" si="10" ref="C48:L48">C16*C13</f>
        <v>877</v>
      </c>
      <c r="D48" s="4">
        <f t="shared" si="10"/>
        <v>890</v>
      </c>
      <c r="E48" s="4">
        <f t="shared" si="10"/>
        <v>900</v>
      </c>
      <c r="F48" s="4">
        <f t="shared" si="10"/>
        <v>1019</v>
      </c>
      <c r="G48" s="4">
        <f t="shared" si="10"/>
        <v>1362</v>
      </c>
      <c r="H48" s="4">
        <f t="shared" si="10"/>
        <v>1527</v>
      </c>
      <c r="I48" s="4">
        <f t="shared" si="10"/>
        <v>2469</v>
      </c>
      <c r="J48" s="4">
        <f t="shared" si="10"/>
        <v>3055</v>
      </c>
      <c r="K48" s="4">
        <f t="shared" si="10"/>
        <v>3670.0000000000005</v>
      </c>
      <c r="L48" s="4">
        <f t="shared" si="10"/>
        <v>4828</v>
      </c>
      <c r="M48" s="4">
        <f>M16*M13</f>
        <v>5392.999999999999</v>
      </c>
    </row>
    <row r="49" spans="1:13" ht="12.75">
      <c r="A49" s="4" t="s">
        <v>626</v>
      </c>
      <c r="B49" s="4">
        <f>B13*B15</f>
        <v>111.00000000000001</v>
      </c>
      <c r="C49" s="4">
        <f aca="true" t="shared" si="11" ref="C49:L49">C13*C15</f>
        <v>142</v>
      </c>
      <c r="D49" s="4">
        <f t="shared" si="11"/>
        <v>210</v>
      </c>
      <c r="E49" s="4">
        <f t="shared" si="11"/>
        <v>236</v>
      </c>
      <c r="F49" s="4">
        <f t="shared" si="11"/>
        <v>300</v>
      </c>
      <c r="G49" s="4">
        <f t="shared" si="11"/>
        <v>501</v>
      </c>
      <c r="H49" s="4">
        <f t="shared" si="11"/>
        <v>511</v>
      </c>
      <c r="I49" s="4">
        <f t="shared" si="11"/>
        <v>973</v>
      </c>
      <c r="J49" s="4">
        <f t="shared" si="11"/>
        <v>1448</v>
      </c>
      <c r="K49" s="4">
        <f t="shared" si="11"/>
        <v>1749</v>
      </c>
      <c r="L49" s="4">
        <f t="shared" si="11"/>
        <v>2405</v>
      </c>
      <c r="M49" s="4">
        <f>M13*M15</f>
        <v>2723</v>
      </c>
    </row>
    <row r="50" spans="1:13" ht="12.75">
      <c r="A50" s="4" t="s">
        <v>318</v>
      </c>
      <c r="B50" s="4">
        <f>B13*B21</f>
        <v>334</v>
      </c>
      <c r="C50" s="4">
        <f aca="true" t="shared" si="12" ref="C50:L50">C13*C21</f>
        <v>364</v>
      </c>
      <c r="D50" s="4">
        <f t="shared" si="12"/>
        <v>413</v>
      </c>
      <c r="E50" s="4">
        <f t="shared" si="12"/>
        <v>392</v>
      </c>
      <c r="F50" s="4">
        <f t="shared" si="12"/>
        <v>413</v>
      </c>
      <c r="G50" s="4">
        <f t="shared" si="12"/>
        <v>401.99999999999994</v>
      </c>
      <c r="H50" s="4">
        <f t="shared" si="12"/>
        <v>395</v>
      </c>
      <c r="I50" s="4">
        <f t="shared" si="12"/>
        <v>525</v>
      </c>
      <c r="J50" s="4">
        <f t="shared" si="12"/>
        <v>529</v>
      </c>
      <c r="K50" s="4">
        <f t="shared" si="12"/>
        <v>628</v>
      </c>
      <c r="L50" s="4">
        <f t="shared" si="12"/>
        <v>724</v>
      </c>
      <c r="M50" s="4">
        <f>M13*M21</f>
        <v>817</v>
      </c>
    </row>
    <row r="51" spans="1:13" ht="12.75">
      <c r="A51" s="4" t="s">
        <v>661</v>
      </c>
      <c r="B51" s="4">
        <f aca="true" t="shared" si="13" ref="B51:K51">B25*B49</f>
        <v>0</v>
      </c>
      <c r="C51" s="4">
        <f t="shared" si="13"/>
        <v>0</v>
      </c>
      <c r="D51" s="4">
        <f t="shared" si="13"/>
        <v>0</v>
      </c>
      <c r="E51" s="4">
        <f t="shared" si="13"/>
        <v>0</v>
      </c>
      <c r="F51" s="4">
        <f t="shared" si="13"/>
        <v>0</v>
      </c>
      <c r="G51" s="160">
        <f t="shared" si="13"/>
        <v>208.75</v>
      </c>
      <c r="H51" s="4">
        <f t="shared" si="13"/>
        <v>227.1111111111111</v>
      </c>
      <c r="I51" s="4">
        <f t="shared" si="13"/>
        <v>307.2631578947368</v>
      </c>
      <c r="J51" s="4">
        <f t="shared" si="13"/>
        <v>457.2631578947368</v>
      </c>
      <c r="K51" s="87">
        <f t="shared" si="13"/>
        <v>572.948275862069</v>
      </c>
      <c r="L51" s="4">
        <f>L25*L49</f>
        <v>661.375</v>
      </c>
      <c r="M51" s="4">
        <f>M25*M49</f>
        <v>0</v>
      </c>
    </row>
    <row r="55" ht="12.75">
      <c r="M55" s="4" t="s">
        <v>4</v>
      </c>
    </row>
    <row r="64" ht="12.75">
      <c r="A64" s="4" t="s">
        <v>4</v>
      </c>
    </row>
    <row r="69" ht="12.75">
      <c r="A69" s="4" t="s">
        <v>4</v>
      </c>
    </row>
  </sheetData>
  <sheetProtection/>
  <mergeCells count="1">
    <mergeCell ref="B1:M1"/>
  </mergeCells>
  <printOptions gridLines="1"/>
  <pageMargins left="0.75" right="0.75" top="1" bottom="1" header="0.5" footer="0.5"/>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
    </sheetView>
  </sheetViews>
  <sheetFormatPr defaultColWidth="9.125" defaultRowHeight="13.5"/>
  <cols>
    <col min="1" max="1" width="51.25390625" style="4" customWidth="1"/>
    <col min="2" max="2" width="7.625" style="4" bestFit="1" customWidth="1"/>
    <col min="3" max="3" width="52.00390625" style="4" customWidth="1"/>
    <col min="4" max="16384" width="9.125" style="4" customWidth="1"/>
  </cols>
  <sheetData>
    <row r="1" ht="12.75">
      <c r="A1" s="17"/>
    </row>
    <row r="2" spans="1:3" ht="12.75">
      <c r="A2" s="152" t="s">
        <v>160</v>
      </c>
      <c r="B2" s="152" t="s">
        <v>161</v>
      </c>
      <c r="C2" s="152" t="s">
        <v>135</v>
      </c>
    </row>
    <row r="3" spans="1:3" ht="12.75">
      <c r="A3" s="8" t="s">
        <v>909</v>
      </c>
      <c r="B3" s="1" t="s">
        <v>353</v>
      </c>
      <c r="C3" s="1"/>
    </row>
    <row r="4" spans="1:3" ht="12.75">
      <c r="A4" s="8" t="s">
        <v>910</v>
      </c>
      <c r="B4" s="1" t="s">
        <v>353</v>
      </c>
      <c r="C4" s="1"/>
    </row>
    <row r="5" spans="1:3" ht="12.75">
      <c r="A5" s="8" t="s">
        <v>911</v>
      </c>
      <c r="B5" s="1" t="s">
        <v>353</v>
      </c>
      <c r="C5" s="1"/>
    </row>
    <row r="6" spans="1:3" ht="12.75">
      <c r="A6" s="8"/>
      <c r="B6" s="1"/>
      <c r="C6" s="1"/>
    </row>
    <row r="7" ht="12.75">
      <c r="A7" s="17"/>
    </row>
    <row r="8" spans="1:3" ht="12.75">
      <c r="A8" s="163" t="s">
        <v>207</v>
      </c>
      <c r="B8" s="152" t="s">
        <v>161</v>
      </c>
      <c r="C8" s="152" t="s">
        <v>135</v>
      </c>
    </row>
    <row r="9" spans="1:3" ht="12.75">
      <c r="A9" s="1" t="s">
        <v>912</v>
      </c>
      <c r="B9" s="1" t="s">
        <v>806</v>
      </c>
      <c r="C9" s="1" t="s">
        <v>913</v>
      </c>
    </row>
    <row r="10" spans="1:3" ht="12.75">
      <c r="A10" s="1" t="s">
        <v>914</v>
      </c>
      <c r="B10" s="1" t="s">
        <v>353</v>
      </c>
      <c r="C10" s="1" t="s">
        <v>915</v>
      </c>
    </row>
    <row r="11" spans="1:3" ht="12.75">
      <c r="A11" s="1"/>
      <c r="B11" s="1"/>
      <c r="C11" s="1"/>
    </row>
    <row r="12" ht="12.75">
      <c r="A12" s="17"/>
    </row>
    <row r="13" spans="1:3" ht="12.75">
      <c r="A13" s="163" t="s">
        <v>164</v>
      </c>
      <c r="B13" s="152" t="s">
        <v>161</v>
      </c>
      <c r="C13" s="152" t="s">
        <v>135</v>
      </c>
    </row>
    <row r="14" spans="1:3" ht="12.75">
      <c r="A14" s="8" t="s">
        <v>916</v>
      </c>
      <c r="B14" s="1" t="s">
        <v>353</v>
      </c>
      <c r="C14" s="1" t="s">
        <v>917</v>
      </c>
    </row>
    <row r="15" spans="1:3" ht="12.75">
      <c r="A15" s="8" t="s">
        <v>918</v>
      </c>
      <c r="B15" s="1" t="s">
        <v>353</v>
      </c>
      <c r="C15" s="1" t="s">
        <v>919</v>
      </c>
    </row>
    <row r="16" spans="1:3" ht="12.75">
      <c r="A16" s="8" t="s">
        <v>920</v>
      </c>
      <c r="B16" s="1" t="s">
        <v>353</v>
      </c>
      <c r="C16" s="1" t="s">
        <v>921</v>
      </c>
    </row>
    <row r="17" spans="1:3" ht="12.75">
      <c r="A17" s="8" t="s">
        <v>922</v>
      </c>
      <c r="B17" s="1" t="s">
        <v>816</v>
      </c>
      <c r="C17" s="1" t="s">
        <v>923</v>
      </c>
    </row>
    <row r="20" spans="1:3" ht="12.75">
      <c r="A20" s="163" t="s">
        <v>162</v>
      </c>
      <c r="B20" s="152"/>
      <c r="C20" s="152"/>
    </row>
    <row r="21" spans="1:3" ht="12.75">
      <c r="A21" s="8" t="s">
        <v>924</v>
      </c>
      <c r="B21" s="1"/>
      <c r="C21" s="1"/>
    </row>
    <row r="22" spans="1:3" ht="12.75">
      <c r="A22" s="8" t="s">
        <v>925</v>
      </c>
      <c r="B22" s="1"/>
      <c r="C22" s="1"/>
    </row>
    <row r="23" spans="1:3" ht="12.75">
      <c r="A23" s="1" t="s">
        <v>926</v>
      </c>
      <c r="B23" s="1"/>
      <c r="C23" s="1"/>
    </row>
    <row r="24" spans="1:3" ht="12.75">
      <c r="A24" s="1"/>
      <c r="B24" s="1"/>
      <c r="C24" s="1"/>
    </row>
    <row r="25" spans="1:3" ht="12.75">
      <c r="A25" s="1"/>
      <c r="B25" s="1"/>
      <c r="C25" s="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62"/>
  <sheetViews>
    <sheetView zoomScalePageLayoutView="0" workbookViewId="0" topLeftCell="A1">
      <selection activeCell="B18" sqref="B18"/>
    </sheetView>
  </sheetViews>
  <sheetFormatPr defaultColWidth="8.875" defaultRowHeight="13.5"/>
  <cols>
    <col min="1" max="1" width="65.125" style="4" customWidth="1"/>
    <col min="2" max="2" width="77.125" style="4" customWidth="1"/>
    <col min="3" max="16384" width="8.875" style="4" customWidth="1"/>
  </cols>
  <sheetData>
    <row r="1" spans="1:2" ht="12.75">
      <c r="A1" s="150" t="s">
        <v>462</v>
      </c>
      <c r="B1" s="150" t="s">
        <v>266</v>
      </c>
    </row>
    <row r="2" spans="1:2" ht="51">
      <c r="A2" s="71" t="s">
        <v>484</v>
      </c>
      <c r="B2" s="71" t="s">
        <v>937</v>
      </c>
    </row>
    <row r="3" spans="1:2" ht="12.75">
      <c r="A3" s="71" t="s">
        <v>681</v>
      </c>
      <c r="B3" s="71" t="s">
        <v>343</v>
      </c>
    </row>
    <row r="4" spans="1:2" ht="12.75">
      <c r="A4" s="71" t="s">
        <v>245</v>
      </c>
      <c r="B4" s="71" t="s">
        <v>938</v>
      </c>
    </row>
    <row r="5" spans="1:2" ht="12.75">
      <c r="A5" s="71" t="s">
        <v>512</v>
      </c>
      <c r="B5" s="71" t="s">
        <v>343</v>
      </c>
    </row>
    <row r="6" spans="1:2" ht="25.5">
      <c r="A6" s="71" t="s">
        <v>485</v>
      </c>
      <c r="B6" s="71" t="s">
        <v>781</v>
      </c>
    </row>
    <row r="7" spans="1:2" ht="25.5">
      <c r="A7" s="71" t="s">
        <v>513</v>
      </c>
      <c r="B7" s="71" t="s">
        <v>343</v>
      </c>
    </row>
    <row r="8" spans="1:2" ht="12.75">
      <c r="A8" s="71" t="s">
        <v>486</v>
      </c>
      <c r="B8" s="71" t="s">
        <v>343</v>
      </c>
    </row>
    <row r="9" spans="1:2" ht="25.5">
      <c r="A9" s="71" t="s">
        <v>489</v>
      </c>
      <c r="B9" s="71" t="s">
        <v>145</v>
      </c>
    </row>
    <row r="10" spans="1:2" ht="25.5">
      <c r="A10" s="71" t="s">
        <v>593</v>
      </c>
      <c r="B10" s="71" t="s">
        <v>939</v>
      </c>
    </row>
    <row r="11" spans="1:2" ht="12.75">
      <c r="A11" s="71" t="s">
        <v>490</v>
      </c>
      <c r="B11" s="71" t="s">
        <v>940</v>
      </c>
    </row>
    <row r="12" spans="1:2" ht="12.75">
      <c r="A12" s="71" t="s">
        <v>491</v>
      </c>
      <c r="B12" s="71" t="s">
        <v>343</v>
      </c>
    </row>
    <row r="13" spans="1:2" ht="12.75">
      <c r="A13" s="71" t="s">
        <v>492</v>
      </c>
      <c r="B13" s="71" t="s">
        <v>343</v>
      </c>
    </row>
    <row r="14" spans="1:2" ht="25.5">
      <c r="A14" s="71" t="s">
        <v>493</v>
      </c>
      <c r="B14" s="71" t="s">
        <v>343</v>
      </c>
    </row>
    <row r="15" spans="1:5" ht="25.5">
      <c r="A15" s="71" t="s">
        <v>494</v>
      </c>
      <c r="B15" s="71" t="s">
        <v>343</v>
      </c>
      <c r="E15" s="4" t="s">
        <v>4</v>
      </c>
    </row>
    <row r="16" spans="1:2" ht="12.75">
      <c r="A16" s="71" t="s">
        <v>495</v>
      </c>
      <c r="B16" s="71" t="s">
        <v>343</v>
      </c>
    </row>
    <row r="17" spans="1:2" ht="12.75">
      <c r="A17" s="71" t="s">
        <v>496</v>
      </c>
      <c r="B17" s="71" t="s">
        <v>343</v>
      </c>
    </row>
    <row r="18" spans="1:2" ht="25.5">
      <c r="A18" s="71" t="s">
        <v>497</v>
      </c>
      <c r="B18" s="71" t="s">
        <v>343</v>
      </c>
    </row>
    <row r="19" spans="1:2" ht="12.75">
      <c r="A19" s="71" t="s">
        <v>498</v>
      </c>
      <c r="B19" s="71" t="s">
        <v>343</v>
      </c>
    </row>
    <row r="20" spans="1:2" ht="12.75">
      <c r="A20" s="71" t="s">
        <v>514</v>
      </c>
      <c r="B20" s="71" t="s">
        <v>941</v>
      </c>
    </row>
    <row r="21" spans="1:2" ht="25.5">
      <c r="A21" s="71" t="s">
        <v>536</v>
      </c>
      <c r="B21" s="71" t="s">
        <v>145</v>
      </c>
    </row>
    <row r="22" spans="1:2" ht="12.75">
      <c r="A22" s="71" t="s">
        <v>537</v>
      </c>
      <c r="B22" s="71" t="s">
        <v>343</v>
      </c>
    </row>
    <row r="23" spans="1:2" ht="25.5">
      <c r="A23" s="8" t="s">
        <v>563</v>
      </c>
      <c r="B23" s="71" t="s">
        <v>343</v>
      </c>
    </row>
    <row r="24" ht="12.75">
      <c r="B24" s="73"/>
    </row>
    <row r="25" spans="1:2" ht="12.75">
      <c r="A25" s="73"/>
      <c r="B25" s="73"/>
    </row>
    <row r="26" spans="1:2" ht="12.75">
      <c r="A26" s="96"/>
      <c r="B26" s="96"/>
    </row>
    <row r="27" spans="1:2" ht="12.75">
      <c r="A27" s="150" t="s">
        <v>463</v>
      </c>
      <c r="B27" s="150" t="s">
        <v>266</v>
      </c>
    </row>
    <row r="28" spans="1:2" ht="12.75">
      <c r="A28" s="71" t="s">
        <v>411</v>
      </c>
      <c r="B28" s="71" t="s">
        <v>343</v>
      </c>
    </row>
    <row r="29" spans="1:2" ht="25.5">
      <c r="A29" s="8" t="s">
        <v>487</v>
      </c>
      <c r="B29" s="71" t="s">
        <v>343</v>
      </c>
    </row>
    <row r="30" spans="1:2" ht="25.5">
      <c r="A30" s="71" t="s">
        <v>488</v>
      </c>
      <c r="B30" s="71" t="s">
        <v>145</v>
      </c>
    </row>
    <row r="31" spans="1:2" ht="12.75">
      <c r="A31" s="71" t="s">
        <v>515</v>
      </c>
      <c r="B31" s="71" t="s">
        <v>145</v>
      </c>
    </row>
    <row r="32" spans="1:2" ht="12.75">
      <c r="A32" s="71" t="s">
        <v>516</v>
      </c>
      <c r="B32" s="71" t="s">
        <v>343</v>
      </c>
    </row>
    <row r="33" spans="1:2" ht="12.75">
      <c r="A33" s="71" t="s">
        <v>518</v>
      </c>
      <c r="B33" s="71" t="s">
        <v>343</v>
      </c>
    </row>
    <row r="34" spans="1:2" ht="12.75">
      <c r="A34" s="71" t="s">
        <v>519</v>
      </c>
      <c r="B34" s="71" t="s">
        <v>343</v>
      </c>
    </row>
    <row r="35" spans="1:2" ht="12.75">
      <c r="A35" s="71" t="s">
        <v>521</v>
      </c>
      <c r="B35" s="71" t="s">
        <v>942</v>
      </c>
    </row>
    <row r="36" spans="1:2" ht="12.75">
      <c r="A36" s="71" t="s">
        <v>526</v>
      </c>
      <c r="B36" s="71" t="s">
        <v>145</v>
      </c>
    </row>
    <row r="37" spans="1:2" ht="12.75">
      <c r="A37" s="71" t="s">
        <v>527</v>
      </c>
      <c r="B37" s="71" t="s">
        <v>772</v>
      </c>
    </row>
    <row r="38" spans="1:2" ht="25.5">
      <c r="A38" s="71" t="s">
        <v>535</v>
      </c>
      <c r="B38" s="71" t="s">
        <v>145</v>
      </c>
    </row>
    <row r="39" spans="1:2" ht="25.5">
      <c r="A39" s="71" t="s">
        <v>538</v>
      </c>
      <c r="B39" s="71" t="s">
        <v>343</v>
      </c>
    </row>
    <row r="40" spans="1:2" ht="12.75">
      <c r="A40" s="71" t="s">
        <v>539</v>
      </c>
      <c r="B40" s="71" t="s">
        <v>343</v>
      </c>
    </row>
    <row r="41" spans="1:2" ht="12.75">
      <c r="A41" s="71" t="s">
        <v>540</v>
      </c>
      <c r="B41" s="71" t="s">
        <v>343</v>
      </c>
    </row>
    <row r="42" spans="1:2" ht="12.75">
      <c r="A42" s="71" t="s">
        <v>541</v>
      </c>
      <c r="B42" s="71" t="s">
        <v>343</v>
      </c>
    </row>
    <row r="43" spans="1:2" ht="12.75">
      <c r="A43" s="71" t="s">
        <v>568</v>
      </c>
      <c r="B43" s="71" t="s">
        <v>343</v>
      </c>
    </row>
    <row r="44" spans="1:2" ht="12.75">
      <c r="A44" s="71" t="s">
        <v>569</v>
      </c>
      <c r="B44" s="71" t="s">
        <v>343</v>
      </c>
    </row>
    <row r="45" spans="1:2" ht="12.75">
      <c r="A45" s="73"/>
      <c r="B45" s="96"/>
    </row>
    <row r="46" spans="1:2" ht="12.75">
      <c r="A46" s="73"/>
      <c r="B46" s="96"/>
    </row>
    <row r="47" spans="1:2" ht="12.75">
      <c r="A47" s="73"/>
      <c r="B47" s="96"/>
    </row>
    <row r="48" spans="1:2" ht="12.75">
      <c r="A48" s="73"/>
      <c r="B48" s="96"/>
    </row>
    <row r="49" ht="12.75">
      <c r="B49" s="96"/>
    </row>
    <row r="50" spans="1:2" ht="12.75">
      <c r="A50" s="151" t="s">
        <v>473</v>
      </c>
      <c r="B50" s="150" t="s">
        <v>266</v>
      </c>
    </row>
    <row r="51" spans="1:2" ht="25.5">
      <c r="A51" s="71" t="s">
        <v>517</v>
      </c>
      <c r="B51" s="71" t="s">
        <v>343</v>
      </c>
    </row>
    <row r="52" spans="1:2" ht="12.75">
      <c r="A52" s="71" t="s">
        <v>542</v>
      </c>
      <c r="B52" s="71" t="s">
        <v>343</v>
      </c>
    </row>
    <row r="53" spans="1:2" ht="25.5">
      <c r="A53" s="71" t="s">
        <v>543</v>
      </c>
      <c r="B53" s="71" t="s">
        <v>343</v>
      </c>
    </row>
    <row r="54" spans="1:2" ht="25.5">
      <c r="A54" s="71" t="s">
        <v>545</v>
      </c>
      <c r="B54" s="71" t="s">
        <v>343</v>
      </c>
    </row>
    <row r="55" spans="1:2" ht="12.75">
      <c r="A55" s="71" t="s">
        <v>546</v>
      </c>
      <c r="B55" s="71" t="s">
        <v>343</v>
      </c>
    </row>
    <row r="56" spans="1:2" ht="12.75">
      <c r="A56" s="71" t="s">
        <v>547</v>
      </c>
      <c r="B56" s="71" t="s">
        <v>343</v>
      </c>
    </row>
    <row r="57" spans="1:2" ht="38.25">
      <c r="A57" s="71" t="s">
        <v>548</v>
      </c>
      <c r="B57" s="71" t="s">
        <v>145</v>
      </c>
    </row>
    <row r="58" spans="1:2" ht="12.75">
      <c r="A58" s="71" t="s">
        <v>549</v>
      </c>
      <c r="B58" s="71" t="s">
        <v>343</v>
      </c>
    </row>
    <row r="59" spans="1:2" ht="12.75">
      <c r="A59" s="71" t="s">
        <v>550</v>
      </c>
      <c r="B59" s="71" t="s">
        <v>343</v>
      </c>
    </row>
    <row r="60" spans="1:2" ht="51">
      <c r="A60" s="71" t="s">
        <v>551</v>
      </c>
      <c r="B60" s="71" t="s">
        <v>943</v>
      </c>
    </row>
    <row r="61" spans="1:2" ht="12.75">
      <c r="A61" s="96"/>
      <c r="B61" s="96"/>
    </row>
    <row r="62" spans="1:2" ht="12.75">
      <c r="A62" s="96"/>
      <c r="B62" s="96"/>
    </row>
    <row r="63" spans="1:2" ht="12.75">
      <c r="A63" s="96"/>
      <c r="B63" s="96"/>
    </row>
    <row r="64" spans="1:2" ht="12.75">
      <c r="A64" s="96"/>
      <c r="B64" s="96"/>
    </row>
    <row r="65" spans="1:2" ht="12.75">
      <c r="A65" s="150" t="s">
        <v>464</v>
      </c>
      <c r="B65" s="150" t="s">
        <v>266</v>
      </c>
    </row>
    <row r="66" spans="1:2" ht="12.75">
      <c r="A66" s="71" t="s">
        <v>530</v>
      </c>
      <c r="B66" s="71" t="s">
        <v>352</v>
      </c>
    </row>
    <row r="67" spans="1:2" ht="25.5">
      <c r="A67" s="71" t="s">
        <v>458</v>
      </c>
      <c r="B67" s="71" t="s">
        <v>352</v>
      </c>
    </row>
    <row r="68" spans="1:2" ht="12.75">
      <c r="A68" s="71" t="s">
        <v>529</v>
      </c>
      <c r="B68" s="71" t="s">
        <v>352</v>
      </c>
    </row>
    <row r="69" spans="1:2" ht="12.75">
      <c r="A69" s="96"/>
      <c r="B69" s="96"/>
    </row>
    <row r="70" spans="1:2" ht="12.75">
      <c r="A70" s="96"/>
      <c r="B70" s="96"/>
    </row>
    <row r="71" spans="1:2" ht="12.75">
      <c r="A71" s="96"/>
      <c r="B71" s="96"/>
    </row>
    <row r="72" spans="1:2" ht="12.75">
      <c r="A72" s="150" t="s">
        <v>465</v>
      </c>
      <c r="B72" s="150" t="s">
        <v>266</v>
      </c>
    </row>
    <row r="73" spans="1:2" ht="25.5">
      <c r="A73" s="71" t="s">
        <v>425</v>
      </c>
      <c r="B73" s="71" t="s">
        <v>944</v>
      </c>
    </row>
    <row r="74" spans="1:2" ht="25.5">
      <c r="A74" s="71" t="s">
        <v>335</v>
      </c>
      <c r="B74" s="71" t="s">
        <v>945</v>
      </c>
    </row>
    <row r="75" spans="1:2" ht="25.5">
      <c r="A75" s="71" t="s">
        <v>532</v>
      </c>
      <c r="B75" s="71" t="s">
        <v>343</v>
      </c>
    </row>
    <row r="76" spans="1:2" ht="25.5">
      <c r="A76" s="71" t="s">
        <v>533</v>
      </c>
      <c r="B76" s="71" t="s">
        <v>944</v>
      </c>
    </row>
    <row r="77" spans="1:2" ht="12.75">
      <c r="A77" s="71" t="s">
        <v>534</v>
      </c>
      <c r="B77" s="71" t="s">
        <v>944</v>
      </c>
    </row>
    <row r="78" spans="1:2" ht="12.75">
      <c r="A78" s="96"/>
      <c r="B78" s="96"/>
    </row>
    <row r="79" spans="1:2" ht="12.75">
      <c r="A79" s="96"/>
      <c r="B79" s="96"/>
    </row>
    <row r="80" spans="1:2" ht="12.75">
      <c r="A80" s="150" t="s">
        <v>466</v>
      </c>
      <c r="B80" s="150" t="s">
        <v>266</v>
      </c>
    </row>
    <row r="81" spans="1:2" ht="12.75">
      <c r="A81" s="71" t="s">
        <v>594</v>
      </c>
      <c r="B81" s="71" t="s">
        <v>343</v>
      </c>
    </row>
    <row r="82" spans="1:2" ht="25.5">
      <c r="A82" s="71" t="s">
        <v>595</v>
      </c>
      <c r="B82" s="71" t="s">
        <v>946</v>
      </c>
    </row>
    <row r="83" spans="1:2" ht="12.75">
      <c r="A83" s="71"/>
      <c r="B83" s="71"/>
    </row>
    <row r="84" spans="1:2" ht="12.75">
      <c r="A84" s="71"/>
      <c r="B84" s="71"/>
    </row>
    <row r="85" spans="1:2" ht="12.75">
      <c r="A85" s="73"/>
      <c r="B85" s="73"/>
    </row>
    <row r="86" spans="1:2" ht="12.75">
      <c r="A86" s="150" t="s">
        <v>472</v>
      </c>
      <c r="B86" s="150" t="s">
        <v>266</v>
      </c>
    </row>
    <row r="87" spans="1:2" ht="25.5">
      <c r="A87" s="96" t="s">
        <v>459</v>
      </c>
      <c r="B87" s="71" t="s">
        <v>947</v>
      </c>
    </row>
    <row r="88" spans="1:2" ht="25.5">
      <c r="A88" s="71" t="s">
        <v>564</v>
      </c>
      <c r="B88" s="71" t="s">
        <v>145</v>
      </c>
    </row>
    <row r="89" spans="1:2" ht="25.5">
      <c r="A89" s="71" t="s">
        <v>565</v>
      </c>
      <c r="B89" s="71" t="s">
        <v>944</v>
      </c>
    </row>
    <row r="90" spans="1:2" ht="12.75">
      <c r="A90" s="96" t="s">
        <v>566</v>
      </c>
      <c r="B90" s="96" t="s">
        <v>944</v>
      </c>
    </row>
    <row r="91" spans="1:2" ht="12.75">
      <c r="A91" s="96"/>
      <c r="B91" s="96"/>
    </row>
    <row r="92" spans="1:2" ht="12.75">
      <c r="A92" s="150" t="s">
        <v>467</v>
      </c>
      <c r="B92" s="150" t="s">
        <v>266</v>
      </c>
    </row>
    <row r="93" spans="1:2" ht="25.5">
      <c r="A93" s="71" t="s">
        <v>567</v>
      </c>
      <c r="B93" s="71" t="s">
        <v>772</v>
      </c>
    </row>
    <row r="94" spans="1:2" ht="12.75">
      <c r="A94" s="71"/>
      <c r="B94" s="71"/>
    </row>
    <row r="95" spans="1:2" ht="12.75">
      <c r="A95" s="71"/>
      <c r="B95" s="71"/>
    </row>
    <row r="96" spans="1:2" ht="12.75">
      <c r="A96" s="71"/>
      <c r="B96" s="71"/>
    </row>
    <row r="97" spans="1:2" ht="12.75">
      <c r="A97" s="71"/>
      <c r="B97" s="71"/>
    </row>
    <row r="98" spans="1:2" ht="12.75">
      <c r="A98" s="71"/>
      <c r="B98" s="71"/>
    </row>
    <row r="99" spans="1:2" ht="12.75">
      <c r="A99" s="71"/>
      <c r="B99" s="71"/>
    </row>
    <row r="100" spans="1:2" ht="12.75">
      <c r="A100" s="96"/>
      <c r="B100" s="96"/>
    </row>
    <row r="101" spans="1:2" ht="12.75">
      <c r="A101" s="150" t="s">
        <v>468</v>
      </c>
      <c r="B101" s="150" t="s">
        <v>266</v>
      </c>
    </row>
    <row r="102" spans="1:2" ht="25.5">
      <c r="A102" s="71" t="s">
        <v>391</v>
      </c>
      <c r="B102" s="71" t="s">
        <v>343</v>
      </c>
    </row>
    <row r="103" spans="1:2" ht="12.75">
      <c r="A103" s="71" t="s">
        <v>398</v>
      </c>
      <c r="B103" s="71" t="s">
        <v>343</v>
      </c>
    </row>
    <row r="104" spans="1:2" ht="12.75">
      <c r="A104" s="71" t="s">
        <v>412</v>
      </c>
      <c r="B104" s="71" t="s">
        <v>145</v>
      </c>
    </row>
    <row r="105" spans="1:2" ht="12.75">
      <c r="A105" s="71" t="s">
        <v>520</v>
      </c>
      <c r="B105" s="71" t="s">
        <v>343</v>
      </c>
    </row>
    <row r="106" spans="1:2" ht="12.75">
      <c r="A106" s="71" t="s">
        <v>522</v>
      </c>
      <c r="B106" s="71" t="s">
        <v>948</v>
      </c>
    </row>
    <row r="107" spans="1:2" ht="12.75">
      <c r="A107" s="71" t="s">
        <v>523</v>
      </c>
      <c r="B107" s="71" t="s">
        <v>944</v>
      </c>
    </row>
    <row r="108" spans="1:2" ht="12.75">
      <c r="A108" s="71" t="s">
        <v>524</v>
      </c>
      <c r="B108" s="71" t="s">
        <v>944</v>
      </c>
    </row>
    <row r="109" spans="1:2" ht="12.75">
      <c r="A109" s="71" t="s">
        <v>525</v>
      </c>
      <c r="B109" s="71" t="s">
        <v>145</v>
      </c>
    </row>
    <row r="110" spans="1:2" ht="12.75">
      <c r="A110" s="71" t="s">
        <v>528</v>
      </c>
      <c r="B110" s="71" t="s">
        <v>145</v>
      </c>
    </row>
    <row r="111" spans="1:2" ht="12.75">
      <c r="A111" s="71" t="s">
        <v>531</v>
      </c>
      <c r="B111" s="71" t="s">
        <v>343</v>
      </c>
    </row>
    <row r="112" spans="1:2" ht="25.5">
      <c r="A112" s="71" t="s">
        <v>562</v>
      </c>
      <c r="B112" s="71" t="s">
        <v>944</v>
      </c>
    </row>
    <row r="113" spans="1:2" ht="12.75">
      <c r="A113" s="73"/>
      <c r="B113" s="73"/>
    </row>
    <row r="114" spans="1:2" ht="12.75">
      <c r="A114" s="73"/>
      <c r="B114" s="73"/>
    </row>
    <row r="115" spans="1:2" ht="12.75">
      <c r="A115" s="73"/>
      <c r="B115" s="73"/>
    </row>
    <row r="116" spans="1:2" ht="12.75">
      <c r="A116" s="150" t="s">
        <v>552</v>
      </c>
      <c r="B116" s="150" t="s">
        <v>266</v>
      </c>
    </row>
    <row r="117" spans="1:2" ht="25.5">
      <c r="A117" s="129" t="s">
        <v>553</v>
      </c>
      <c r="B117" s="129" t="s">
        <v>944</v>
      </c>
    </row>
    <row r="118" spans="1:2" ht="25.5">
      <c r="A118" s="129" t="s">
        <v>554</v>
      </c>
      <c r="B118" s="129" t="s">
        <v>944</v>
      </c>
    </row>
    <row r="119" spans="1:2" ht="12.75">
      <c r="A119" s="129" t="s">
        <v>555</v>
      </c>
      <c r="B119" s="129" t="s">
        <v>944</v>
      </c>
    </row>
    <row r="120" spans="1:2" ht="12.75">
      <c r="A120" s="129" t="s">
        <v>556</v>
      </c>
      <c r="B120" s="129" t="s">
        <v>145</v>
      </c>
    </row>
    <row r="121" spans="1:2" ht="12.75">
      <c r="A121" s="129" t="s">
        <v>557</v>
      </c>
      <c r="B121" s="129" t="s">
        <v>944</v>
      </c>
    </row>
    <row r="122" spans="1:2" ht="12.75">
      <c r="A122" s="129" t="s">
        <v>558</v>
      </c>
      <c r="B122" s="129" t="s">
        <v>949</v>
      </c>
    </row>
    <row r="123" spans="1:2" ht="12.75">
      <c r="A123" s="129" t="s">
        <v>559</v>
      </c>
      <c r="B123" s="129" t="s">
        <v>343</v>
      </c>
    </row>
    <row r="124" spans="1:2" ht="25.5">
      <c r="A124" s="129" t="s">
        <v>560</v>
      </c>
      <c r="B124" s="129" t="s">
        <v>343</v>
      </c>
    </row>
    <row r="125" spans="1:2" ht="25.5">
      <c r="A125" s="71" t="s">
        <v>561</v>
      </c>
      <c r="B125" s="191" t="s">
        <v>950</v>
      </c>
    </row>
    <row r="126" spans="1:2" ht="12.75">
      <c r="A126" s="96"/>
      <c r="B126" s="96"/>
    </row>
    <row r="127" spans="1:2" ht="12.75">
      <c r="A127" s="96"/>
      <c r="B127" s="96"/>
    </row>
    <row r="128" spans="1:2" ht="12.75">
      <c r="A128" s="150" t="s">
        <v>469</v>
      </c>
      <c r="B128" s="150" t="s">
        <v>266</v>
      </c>
    </row>
    <row r="129" spans="1:2" ht="12.75">
      <c r="A129" s="71" t="s">
        <v>460</v>
      </c>
      <c r="B129" s="71" t="s">
        <v>343</v>
      </c>
    </row>
    <row r="130" spans="1:2" ht="12.75">
      <c r="A130" s="71" t="s">
        <v>470</v>
      </c>
      <c r="B130" s="71" t="s">
        <v>954</v>
      </c>
    </row>
    <row r="131" spans="1:2" ht="25.5">
      <c r="A131" s="71" t="s">
        <v>471</v>
      </c>
      <c r="B131" s="71" t="s">
        <v>951</v>
      </c>
    </row>
    <row r="132" spans="1:2" ht="12.75">
      <c r="A132" s="71" t="s">
        <v>602</v>
      </c>
      <c r="B132" s="71" t="s">
        <v>952</v>
      </c>
    </row>
    <row r="133" spans="1:2" ht="25.5">
      <c r="A133" s="71" t="s">
        <v>461</v>
      </c>
      <c r="B133" s="8" t="s">
        <v>944</v>
      </c>
    </row>
    <row r="134" spans="1:2" ht="12.75">
      <c r="A134" s="71" t="s">
        <v>390</v>
      </c>
      <c r="B134" s="71" t="s">
        <v>145</v>
      </c>
    </row>
    <row r="135" spans="1:2" ht="12.75">
      <c r="A135" s="71" t="s">
        <v>334</v>
      </c>
      <c r="B135" s="8" t="s">
        <v>145</v>
      </c>
    </row>
    <row r="136" spans="1:2" ht="25.5">
      <c r="A136" s="71" t="s">
        <v>246</v>
      </c>
      <c r="B136" s="8" t="s">
        <v>343</v>
      </c>
    </row>
    <row r="137" spans="1:2" ht="12.75">
      <c r="A137" s="8" t="s">
        <v>499</v>
      </c>
      <c r="B137" s="8" t="s">
        <v>953</v>
      </c>
    </row>
    <row r="138" spans="1:2" ht="25.5">
      <c r="A138" s="8" t="s">
        <v>500</v>
      </c>
      <c r="B138" s="8" t="s">
        <v>343</v>
      </c>
    </row>
    <row r="139" spans="1:2" ht="12.75">
      <c r="A139" s="8" t="s">
        <v>501</v>
      </c>
      <c r="B139" s="8" t="s">
        <v>953</v>
      </c>
    </row>
    <row r="140" spans="1:2" ht="12.75">
      <c r="A140" s="8" t="s">
        <v>502</v>
      </c>
      <c r="B140" s="8" t="s">
        <v>145</v>
      </c>
    </row>
    <row r="141" spans="1:2" ht="25.5">
      <c r="A141" s="8" t="s">
        <v>544</v>
      </c>
      <c r="B141" s="8" t="s">
        <v>944</v>
      </c>
    </row>
    <row r="142" spans="1:2" ht="12.75">
      <c r="A142" s="17"/>
      <c r="B142" s="17"/>
    </row>
    <row r="143" spans="1:2" ht="12.75">
      <c r="A143" s="17"/>
      <c r="B143" s="17"/>
    </row>
    <row r="144" spans="1:2" ht="12.75">
      <c r="A144" s="17"/>
      <c r="B144" s="17"/>
    </row>
    <row r="145" spans="1:2" ht="12.75">
      <c r="A145" s="17"/>
      <c r="B145" s="17"/>
    </row>
    <row r="146" spans="1:2" ht="12.75">
      <c r="A146" s="17"/>
      <c r="B146" s="17"/>
    </row>
    <row r="147" spans="1:2" ht="12.75">
      <c r="A147" s="17"/>
      <c r="B147" s="17"/>
    </row>
    <row r="148" spans="1:2" ht="12.75">
      <c r="A148" s="17"/>
      <c r="B148" s="17"/>
    </row>
    <row r="149" spans="1:2" ht="12.75">
      <c r="A149" s="17"/>
      <c r="B149" s="17"/>
    </row>
    <row r="150" spans="1:2" ht="12.75">
      <c r="A150" s="17"/>
      <c r="B150" s="17"/>
    </row>
    <row r="151" spans="1:2" ht="12.75">
      <c r="A151" s="17"/>
      <c r="B151" s="17"/>
    </row>
    <row r="152" spans="1:2" ht="12.75">
      <c r="A152" s="17"/>
      <c r="B152" s="17"/>
    </row>
    <row r="153" spans="1:2" ht="12.75">
      <c r="A153" s="17"/>
      <c r="B153" s="17"/>
    </row>
    <row r="154" spans="1:2" ht="12.75">
      <c r="A154" s="17"/>
      <c r="B154" s="17"/>
    </row>
    <row r="155" spans="1:2" ht="12.75">
      <c r="A155" s="17"/>
      <c r="B155" s="17"/>
    </row>
    <row r="156" spans="1:2" ht="12.75">
      <c r="A156" s="17"/>
      <c r="B156" s="17"/>
    </row>
    <row r="157" spans="1:2" ht="12.75">
      <c r="A157" s="17"/>
      <c r="B157" s="17"/>
    </row>
    <row r="158" spans="1:2" ht="12.75">
      <c r="A158" s="17"/>
      <c r="B158" s="17"/>
    </row>
    <row r="159" spans="1:2" ht="12.75">
      <c r="A159" s="17"/>
      <c r="B159" s="17"/>
    </row>
    <row r="160" spans="1:2" ht="12.75">
      <c r="A160" s="17"/>
      <c r="B160" s="17"/>
    </row>
    <row r="161" spans="1:2" ht="12.75">
      <c r="A161" s="17"/>
      <c r="B161" s="17"/>
    </row>
    <row r="162" spans="1:2" ht="12.75">
      <c r="A162" s="17"/>
      <c r="B162" s="17"/>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T6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14" sqref="M14"/>
    </sheetView>
  </sheetViews>
  <sheetFormatPr defaultColWidth="9.125" defaultRowHeight="13.5"/>
  <cols>
    <col min="1" max="1" width="27.00390625" style="26" customWidth="1"/>
    <col min="2" max="2" width="7.00390625" style="26" bestFit="1" customWidth="1"/>
    <col min="3" max="13" width="5.625" style="26" bestFit="1" customWidth="1"/>
    <col min="14" max="17" width="6.00390625" style="26" bestFit="1" customWidth="1"/>
    <col min="18" max="18" width="6.125" style="26" customWidth="1"/>
    <col min="19" max="19" width="7.25390625" style="26" customWidth="1"/>
    <col min="20" max="20" width="6.875" style="26" customWidth="1"/>
    <col min="21" max="16384" width="9.125" style="26" customWidth="1"/>
  </cols>
  <sheetData>
    <row r="1" spans="1:20" ht="13.5" customHeight="1">
      <c r="A1" s="25" t="s">
        <v>52</v>
      </c>
      <c r="B1" s="247" t="s">
        <v>0</v>
      </c>
      <c r="C1" s="248"/>
      <c r="D1" s="248"/>
      <c r="E1" s="248"/>
      <c r="F1" s="248"/>
      <c r="G1" s="248"/>
      <c r="H1" s="248"/>
      <c r="I1" s="248"/>
      <c r="J1" s="248"/>
      <c r="K1" s="248"/>
      <c r="L1" s="249"/>
      <c r="M1" s="250" t="s">
        <v>1</v>
      </c>
      <c r="N1" s="251"/>
      <c r="O1" s="251"/>
      <c r="P1" s="251"/>
      <c r="Q1" s="251"/>
      <c r="R1" s="251"/>
      <c r="S1" s="251"/>
      <c r="T1" s="251"/>
    </row>
    <row r="2" spans="1:20" ht="12.75">
      <c r="A2" s="25" t="s">
        <v>2</v>
      </c>
      <c r="B2" s="27">
        <v>2002</v>
      </c>
      <c r="C2" s="27">
        <f aca="true" t="shared" si="0" ref="C2:S2">B2+1</f>
        <v>2003</v>
      </c>
      <c r="D2" s="27">
        <f t="shared" si="0"/>
        <v>2004</v>
      </c>
      <c r="E2" s="27">
        <f t="shared" si="0"/>
        <v>2005</v>
      </c>
      <c r="F2" s="27">
        <f t="shared" si="0"/>
        <v>2006</v>
      </c>
      <c r="G2" s="27">
        <f t="shared" si="0"/>
        <v>2007</v>
      </c>
      <c r="H2" s="27">
        <f t="shared" si="0"/>
        <v>2008</v>
      </c>
      <c r="I2" s="27">
        <f t="shared" si="0"/>
        <v>2009</v>
      </c>
      <c r="J2" s="28">
        <f t="shared" si="0"/>
        <v>2010</v>
      </c>
      <c r="K2" s="27">
        <f t="shared" si="0"/>
        <v>2011</v>
      </c>
      <c r="L2" s="27">
        <f t="shared" si="0"/>
        <v>2012</v>
      </c>
      <c r="M2" s="29">
        <f t="shared" si="0"/>
        <v>2013</v>
      </c>
      <c r="N2" s="29">
        <f t="shared" si="0"/>
        <v>2014</v>
      </c>
      <c r="O2" s="29">
        <f t="shared" si="0"/>
        <v>2015</v>
      </c>
      <c r="P2" s="29">
        <f t="shared" si="0"/>
        <v>2016</v>
      </c>
      <c r="Q2" s="29">
        <f t="shared" si="0"/>
        <v>2017</v>
      </c>
      <c r="R2" s="29">
        <f t="shared" si="0"/>
        <v>2018</v>
      </c>
      <c r="S2" s="29">
        <f t="shared" si="0"/>
        <v>2019</v>
      </c>
      <c r="T2" s="29">
        <f>S2+1</f>
        <v>2020</v>
      </c>
    </row>
    <row r="3" spans="1:20" ht="12.75">
      <c r="A3" s="25" t="s">
        <v>3</v>
      </c>
      <c r="B3" s="135">
        <f>analysis!B7</f>
        <v>958</v>
      </c>
      <c r="C3" s="135">
        <f>analysis!C7</f>
        <v>863</v>
      </c>
      <c r="D3" s="135">
        <f>analysis!D7</f>
        <v>889</v>
      </c>
      <c r="E3" s="135">
        <f>analysis!E7</f>
        <v>898</v>
      </c>
      <c r="F3" s="135">
        <f>analysis!F7</f>
        <v>1042</v>
      </c>
      <c r="G3" s="135">
        <f>analysis!G7</f>
        <v>1363</v>
      </c>
      <c r="H3" s="135">
        <f>analysis!H7</f>
        <v>1525</v>
      </c>
      <c r="I3" s="135">
        <f>analysis!I7</f>
        <v>2463</v>
      </c>
      <c r="J3" s="135">
        <f>analysis!J7</f>
        <v>3047</v>
      </c>
      <c r="K3" s="135">
        <f>analysis!K7</f>
        <v>3672</v>
      </c>
      <c r="L3" s="135">
        <f>analysis!L7</f>
        <v>4826</v>
      </c>
      <c r="M3" s="135">
        <f>analysis!M7</f>
        <v>5440</v>
      </c>
      <c r="N3" s="135">
        <f>analysis!N7</f>
        <v>6080</v>
      </c>
      <c r="O3" s="135">
        <f>analysis!O7</f>
        <v>6720</v>
      </c>
      <c r="P3" s="135">
        <f>analysis!P7</f>
        <v>7820.000000000001</v>
      </c>
      <c r="Q3" s="135">
        <f>analysis!Q7</f>
        <v>9010</v>
      </c>
      <c r="R3" s="135">
        <f>analysis!R7</f>
        <v>9600</v>
      </c>
      <c r="S3" s="135">
        <f>analysis!S7</f>
        <v>10880</v>
      </c>
      <c r="T3" s="135">
        <f>analysis!T7</f>
        <v>12000</v>
      </c>
    </row>
    <row r="4" spans="1:20" ht="12.75">
      <c r="A4" s="25" t="s">
        <v>55</v>
      </c>
      <c r="B4" s="30"/>
      <c r="C4" s="30"/>
      <c r="D4" s="30"/>
      <c r="E4" s="30"/>
      <c r="F4" s="30"/>
      <c r="G4" s="30"/>
      <c r="H4" s="30"/>
      <c r="I4" s="30"/>
      <c r="J4" s="30"/>
      <c r="K4" s="30"/>
      <c r="L4" s="30"/>
      <c r="M4" s="30"/>
      <c r="N4" s="30"/>
      <c r="O4" s="30"/>
      <c r="P4" s="30"/>
      <c r="Q4" s="30"/>
      <c r="R4" s="30"/>
      <c r="S4" s="30"/>
      <c r="T4" s="30"/>
    </row>
    <row r="5" spans="1:20" ht="12.75">
      <c r="A5" s="25" t="s">
        <v>5</v>
      </c>
      <c r="B5" s="30">
        <f>analysis!B15</f>
        <v>90</v>
      </c>
      <c r="C5" s="30">
        <f>analysis!C15</f>
        <v>30</v>
      </c>
      <c r="D5" s="30">
        <f>analysis!D15</f>
        <v>10</v>
      </c>
      <c r="E5" s="30">
        <f>analysis!E15</f>
        <v>20</v>
      </c>
      <c r="F5" s="30">
        <f>analysis!F15</f>
        <v>60</v>
      </c>
      <c r="G5" s="30">
        <f>analysis!G15</f>
        <v>130</v>
      </c>
      <c r="H5" s="30">
        <f>analysis!H15</f>
        <v>230</v>
      </c>
      <c r="I5" s="30">
        <f>analysis!I15</f>
        <v>420</v>
      </c>
      <c r="J5" s="30">
        <f>analysis!J15</f>
        <v>740</v>
      </c>
      <c r="K5" s="30">
        <f>analysis!K15</f>
        <v>870</v>
      </c>
      <c r="L5" s="30">
        <f>analysis!L15</f>
        <v>1150</v>
      </c>
      <c r="M5" s="30">
        <f>analysis!M15</f>
        <v>1296.9</v>
      </c>
      <c r="N5" s="30">
        <f>analysis!N15</f>
        <v>1434.8400000000001</v>
      </c>
      <c r="O5" s="30">
        <f>analysis!O15</f>
        <v>1561.5600000000002</v>
      </c>
      <c r="P5" s="30">
        <f>analysis!P15</f>
        <v>1840.0800000000004</v>
      </c>
      <c r="Q5" s="30">
        <f>analysis!Q15</f>
        <v>2167.44</v>
      </c>
      <c r="R5" s="30">
        <f>analysis!R15</f>
        <v>2296.8</v>
      </c>
      <c r="S5" s="30">
        <f>analysis!S15</f>
        <v>2649.2400000000002</v>
      </c>
      <c r="T5" s="30">
        <f>analysis!T15</f>
        <v>2953.5</v>
      </c>
    </row>
    <row r="6" spans="1:20" ht="12.75">
      <c r="A6" s="25" t="s">
        <v>6</v>
      </c>
      <c r="B6" s="30">
        <f>analysis!B23</f>
        <v>0</v>
      </c>
      <c r="C6" s="30">
        <f>analysis!C23</f>
        <v>0</v>
      </c>
      <c r="D6" s="30">
        <f>analysis!D23</f>
        <v>-29.999999999999886</v>
      </c>
      <c r="E6" s="30">
        <f>analysis!E23</f>
        <v>398</v>
      </c>
      <c r="F6" s="30">
        <f>analysis!F23</f>
        <v>-323.9999999999999</v>
      </c>
      <c r="G6" s="30">
        <f>analysis!G23</f>
        <v>-855.0000000000001</v>
      </c>
      <c r="H6" s="30">
        <f>analysis!H23</f>
        <v>0</v>
      </c>
      <c r="I6" s="30">
        <f>analysis!I23</f>
        <v>0</v>
      </c>
      <c r="J6" s="30">
        <f>analysis!J23</f>
        <v>2130</v>
      </c>
      <c r="K6" s="30">
        <f>analysis!K23</f>
        <v>-2120</v>
      </c>
      <c r="L6" s="30">
        <f>analysis!L23</f>
        <v>0</v>
      </c>
      <c r="M6" s="30">
        <f>analysis!M23</f>
        <v>70</v>
      </c>
      <c r="N6" s="30">
        <f>analysis!N23</f>
        <v>100</v>
      </c>
      <c r="O6" s="30">
        <f>analysis!O23</f>
        <v>100</v>
      </c>
      <c r="P6" s="30">
        <f>analysis!P23</f>
        <v>100</v>
      </c>
      <c r="Q6" s="30">
        <f>analysis!Q23</f>
        <v>100</v>
      </c>
      <c r="R6" s="30">
        <f>analysis!R23</f>
        <v>100</v>
      </c>
      <c r="S6" s="30">
        <f>analysis!S23</f>
        <v>100</v>
      </c>
      <c r="T6" s="30">
        <f>analysis!T23</f>
        <v>100</v>
      </c>
    </row>
    <row r="7" spans="1:20" ht="12.75">
      <c r="A7" s="25" t="s">
        <v>7</v>
      </c>
      <c r="B7" s="30" t="e">
        <f>analysis!B26</f>
        <v>#REF!</v>
      </c>
      <c r="C7" s="30">
        <f>analysis!C26</f>
        <v>179</v>
      </c>
      <c r="D7" s="30">
        <f>analysis!D26</f>
        <v>-330.9999999999999</v>
      </c>
      <c r="E7" s="30">
        <f>analysis!E26</f>
        <v>557</v>
      </c>
      <c r="F7" s="30">
        <f>analysis!F26</f>
        <v>-62.999999999999886</v>
      </c>
      <c r="G7" s="30">
        <f>analysis!G26</f>
        <v>-735.0000000000001</v>
      </c>
      <c r="H7" s="30">
        <f>analysis!H26</f>
        <v>1255</v>
      </c>
      <c r="I7" s="30">
        <f>analysis!I26</f>
        <v>791</v>
      </c>
      <c r="J7" s="30">
        <f>analysis!J26</f>
        <v>2339</v>
      </c>
      <c r="K7" s="30">
        <f>analysis!K26</f>
        <v>-311</v>
      </c>
      <c r="L7" s="30">
        <f>analysis!L26</f>
        <v>-40</v>
      </c>
      <c r="M7" s="30">
        <f>analysis!M26</f>
        <v>2690</v>
      </c>
      <c r="N7" s="30">
        <f>analysis!N26</f>
        <v>2100</v>
      </c>
      <c r="O7" s="30">
        <f>analysis!O26</f>
        <v>2100</v>
      </c>
      <c r="P7" s="30">
        <f>analysis!P26</f>
        <v>2100</v>
      </c>
      <c r="Q7" s="30">
        <f>analysis!Q26</f>
        <v>1100</v>
      </c>
      <c r="R7" s="30">
        <f>analysis!R26</f>
        <v>1100</v>
      </c>
      <c r="S7" s="30">
        <f>analysis!S26</f>
        <v>1100</v>
      </c>
      <c r="T7" s="30">
        <f>analysis!T26</f>
        <v>1100</v>
      </c>
    </row>
    <row r="8" spans="1:20" ht="12.75">
      <c r="A8" s="25" t="s">
        <v>82</v>
      </c>
      <c r="B8" s="30">
        <f>analysis!B29</f>
        <v>205.66000000000003</v>
      </c>
      <c r="C8" s="30">
        <f>analysis!C29</f>
        <v>218.19000000000003</v>
      </c>
      <c r="D8" s="30">
        <f>analysis!D29</f>
        <v>167.12000000000012</v>
      </c>
      <c r="E8" s="30">
        <f>analysis!E29</f>
        <v>606.25</v>
      </c>
      <c r="F8" s="30">
        <f>analysis!F29</f>
        <v>-97.47999999999988</v>
      </c>
      <c r="G8" s="30">
        <f>analysis!G29</f>
        <v>-620.0800000000002</v>
      </c>
      <c r="H8" s="30">
        <f>analysis!H29</f>
        <v>322.77000000000004</v>
      </c>
      <c r="I8" s="30">
        <f>analysis!I29</f>
        <v>378.14000000000004</v>
      </c>
      <c r="J8" s="30">
        <f>analysis!J29</f>
        <v>2522.77</v>
      </c>
      <c r="K8" s="30">
        <f>analysis!K29</f>
        <v>-1600.6</v>
      </c>
      <c r="L8" s="30">
        <f>analysis!L29</f>
        <v>516.6</v>
      </c>
      <c r="M8" s="30">
        <f>analysis!M29</f>
        <v>770.0000000000001</v>
      </c>
      <c r="N8" s="30">
        <f>analysis!N29</f>
        <v>940.0000000000001</v>
      </c>
      <c r="O8" s="30">
        <f>analysis!O29</f>
        <v>1080</v>
      </c>
      <c r="P8" s="30">
        <f>analysis!P29</f>
        <v>1220</v>
      </c>
      <c r="Q8" s="30">
        <f>analysis!Q29</f>
        <v>1290</v>
      </c>
      <c r="R8" s="30">
        <f>analysis!R29</f>
        <v>1360.0000000000002</v>
      </c>
      <c r="S8" s="30">
        <f>analysis!S29</f>
        <v>1430.0000000000002</v>
      </c>
      <c r="T8" s="30">
        <f>analysis!T29</f>
        <v>1500.0000000000002</v>
      </c>
    </row>
    <row r="9" spans="1:20" ht="12.75">
      <c r="A9" s="153" t="s">
        <v>445</v>
      </c>
      <c r="B9" s="30"/>
      <c r="C9" s="30"/>
      <c r="D9" s="30"/>
      <c r="E9" s="30"/>
      <c r="F9" s="30"/>
      <c r="G9" s="30"/>
      <c r="H9" s="30"/>
      <c r="I9" s="30"/>
      <c r="J9" s="30"/>
      <c r="K9" s="30"/>
      <c r="L9" s="30"/>
      <c r="M9" s="30"/>
      <c r="N9" s="30"/>
      <c r="O9" s="30"/>
      <c r="P9" s="30"/>
      <c r="Q9" s="30"/>
      <c r="R9" s="30"/>
      <c r="S9" s="30"/>
      <c r="T9" s="30"/>
    </row>
    <row r="10" spans="1:20" ht="12.75">
      <c r="A10" s="25" t="s">
        <v>354</v>
      </c>
      <c r="B10" s="135" t="e">
        <f aca="true" t="shared" si="1" ref="B10:T10">B3-B4-B5-B6-B7</f>
        <v>#REF!</v>
      </c>
      <c r="C10" s="135">
        <f t="shared" si="1"/>
        <v>654</v>
      </c>
      <c r="D10" s="135">
        <f t="shared" si="1"/>
        <v>1239.9999999999998</v>
      </c>
      <c r="E10" s="135">
        <f t="shared" si="1"/>
        <v>-77</v>
      </c>
      <c r="F10" s="135">
        <f t="shared" si="1"/>
        <v>1369</v>
      </c>
      <c r="G10" s="135">
        <f t="shared" si="1"/>
        <v>2823</v>
      </c>
      <c r="H10" s="135">
        <f t="shared" si="1"/>
        <v>40</v>
      </c>
      <c r="I10" s="135">
        <f t="shared" si="1"/>
        <v>1252</v>
      </c>
      <c r="J10" s="135">
        <f t="shared" si="1"/>
        <v>-2162</v>
      </c>
      <c r="K10" s="135">
        <f t="shared" si="1"/>
        <v>5233</v>
      </c>
      <c r="L10" s="135">
        <f>L3-L4-L5-L6-L7</f>
        <v>3716</v>
      </c>
      <c r="M10" s="135">
        <f t="shared" si="1"/>
        <v>1383.1000000000004</v>
      </c>
      <c r="N10" s="135">
        <f t="shared" si="1"/>
        <v>2445.16</v>
      </c>
      <c r="O10" s="135">
        <f t="shared" si="1"/>
        <v>2958.4399999999996</v>
      </c>
      <c r="P10" s="135">
        <f t="shared" si="1"/>
        <v>3779.92</v>
      </c>
      <c r="Q10" s="135">
        <f t="shared" si="1"/>
        <v>5642.5599999999995</v>
      </c>
      <c r="R10" s="135">
        <f>R3-R4-R5-R6-R7</f>
        <v>6103.2</v>
      </c>
      <c r="S10" s="135">
        <f t="shared" si="1"/>
        <v>7030.76</v>
      </c>
      <c r="T10" s="135">
        <f t="shared" si="1"/>
        <v>7846.5</v>
      </c>
    </row>
    <row r="11" spans="1:20" ht="12.75">
      <c r="A11" s="25" t="s">
        <v>80</v>
      </c>
      <c r="B11" s="30">
        <f>B3-B4-B5-B8</f>
        <v>662.3399999999999</v>
      </c>
      <c r="C11" s="30">
        <f>C3-C4-C5-C8</f>
        <v>614.81</v>
      </c>
      <c r="D11" s="30">
        <f aca="true" t="shared" si="2" ref="D11:L11">D3-D4-D5-D8</f>
        <v>711.8799999999999</v>
      </c>
      <c r="E11" s="30">
        <f t="shared" si="2"/>
        <v>271.75</v>
      </c>
      <c r="F11" s="30">
        <f t="shared" si="2"/>
        <v>1079.4799999999998</v>
      </c>
      <c r="G11" s="30">
        <f t="shared" si="2"/>
        <v>1853.0800000000002</v>
      </c>
      <c r="H11" s="30">
        <f t="shared" si="2"/>
        <v>972.23</v>
      </c>
      <c r="I11" s="30">
        <f t="shared" si="2"/>
        <v>1664.86</v>
      </c>
      <c r="J11" s="30">
        <f t="shared" si="2"/>
        <v>-215.76999999999998</v>
      </c>
      <c r="K11" s="30">
        <f t="shared" si="2"/>
        <v>4402.6</v>
      </c>
      <c r="L11" s="30">
        <f t="shared" si="2"/>
        <v>3159.4</v>
      </c>
      <c r="M11" s="30">
        <f aca="true" t="shared" si="3" ref="M11:T11">M3-M4-M5-M8</f>
        <v>3373.1000000000004</v>
      </c>
      <c r="N11" s="135">
        <f t="shared" si="3"/>
        <v>3705.16</v>
      </c>
      <c r="O11" s="30">
        <f t="shared" si="3"/>
        <v>4078.4399999999996</v>
      </c>
      <c r="P11" s="30">
        <f t="shared" si="3"/>
        <v>4759.92</v>
      </c>
      <c r="Q11" s="30">
        <f t="shared" si="3"/>
        <v>5552.5599999999995</v>
      </c>
      <c r="R11" s="30">
        <f>R3-R4-R5-R8</f>
        <v>5943.2</v>
      </c>
      <c r="S11" s="30">
        <f t="shared" si="3"/>
        <v>6800.76</v>
      </c>
      <c r="T11" s="30">
        <f t="shared" si="3"/>
        <v>7546.5</v>
      </c>
    </row>
    <row r="12" spans="1:20" ht="12.75">
      <c r="A12" s="25" t="s">
        <v>8</v>
      </c>
      <c r="B12" s="30">
        <f>analysis!B37</f>
        <v>100</v>
      </c>
      <c r="C12" s="30">
        <f>analysis!C37</f>
        <v>100</v>
      </c>
      <c r="D12" s="30">
        <f>analysis!D37</f>
        <v>100</v>
      </c>
      <c r="E12" s="30">
        <f>analysis!E37</f>
        <v>100</v>
      </c>
      <c r="F12" s="30">
        <f>analysis!F37</f>
        <v>100</v>
      </c>
      <c r="G12" s="30">
        <f>analysis!G37</f>
        <v>100</v>
      </c>
      <c r="H12" s="30">
        <f>analysis!H37</f>
        <v>100</v>
      </c>
      <c r="I12" s="30">
        <f>analysis!I37</f>
        <v>100</v>
      </c>
      <c r="J12" s="30">
        <f>analysis!J37</f>
        <v>100</v>
      </c>
      <c r="K12" s="30">
        <f>analysis!K37</f>
        <v>127</v>
      </c>
      <c r="L12" s="30">
        <f>analysis!L37</f>
        <v>127</v>
      </c>
      <c r="M12" s="30">
        <f>analysis!M37</f>
        <v>127</v>
      </c>
      <c r="N12" s="30">
        <f>analysis!N37</f>
        <v>127</v>
      </c>
      <c r="O12" s="30">
        <f>analysis!O37</f>
        <v>127</v>
      </c>
      <c r="P12" s="30">
        <f>analysis!P37</f>
        <v>127</v>
      </c>
      <c r="Q12" s="30">
        <f>analysis!Q37</f>
        <v>127</v>
      </c>
      <c r="R12" s="30">
        <f>analysis!R37</f>
        <v>127</v>
      </c>
      <c r="S12" s="30">
        <f>analysis!S37</f>
        <v>127</v>
      </c>
      <c r="T12" s="30">
        <f>analysis!T37</f>
        <v>127</v>
      </c>
    </row>
    <row r="13" spans="1:20" ht="12.75">
      <c r="A13" s="25" t="s">
        <v>9</v>
      </c>
      <c r="B13" s="30" t="e">
        <f aca="true" t="shared" si="4" ref="B13:T13">B10/B12</f>
        <v>#REF!</v>
      </c>
      <c r="C13" s="30">
        <f t="shared" si="4"/>
        <v>6.54</v>
      </c>
      <c r="D13" s="30">
        <f t="shared" si="4"/>
        <v>12.399999999999999</v>
      </c>
      <c r="E13" s="30">
        <f t="shared" si="4"/>
        <v>-0.77</v>
      </c>
      <c r="F13" s="30">
        <f t="shared" si="4"/>
        <v>13.69</v>
      </c>
      <c r="G13" s="30">
        <f t="shared" si="4"/>
        <v>28.23</v>
      </c>
      <c r="H13" s="30">
        <f t="shared" si="4"/>
        <v>0.4</v>
      </c>
      <c r="I13" s="30">
        <f t="shared" si="4"/>
        <v>12.52</v>
      </c>
      <c r="J13" s="30">
        <f t="shared" si="4"/>
        <v>-21.62</v>
      </c>
      <c r="K13" s="30">
        <f t="shared" si="4"/>
        <v>41.20472440944882</v>
      </c>
      <c r="L13" s="30">
        <f t="shared" si="4"/>
        <v>29.25984251968504</v>
      </c>
      <c r="M13" s="30">
        <f t="shared" si="4"/>
        <v>10.890551181102365</v>
      </c>
      <c r="N13" s="30">
        <f t="shared" si="4"/>
        <v>19.25322834645669</v>
      </c>
      <c r="O13" s="30">
        <f t="shared" si="4"/>
        <v>23.294803149606295</v>
      </c>
      <c r="P13" s="30">
        <f t="shared" si="4"/>
        <v>29.763149606299212</v>
      </c>
      <c r="Q13" s="30">
        <f t="shared" si="4"/>
        <v>44.429606299212594</v>
      </c>
      <c r="R13" s="30">
        <f>R10/R12</f>
        <v>48.056692913385824</v>
      </c>
      <c r="S13" s="30">
        <f t="shared" si="4"/>
        <v>55.36031496062992</v>
      </c>
      <c r="T13" s="30">
        <f t="shared" si="4"/>
        <v>61.78346456692913</v>
      </c>
    </row>
    <row r="14" spans="1:20" ht="12.75">
      <c r="A14" s="25" t="s">
        <v>69</v>
      </c>
      <c r="B14" s="30">
        <f aca="true" t="shared" si="5" ref="B14:T14">B11/B12</f>
        <v>6.623399999999999</v>
      </c>
      <c r="C14" s="30">
        <f t="shared" si="5"/>
        <v>6.1480999999999995</v>
      </c>
      <c r="D14" s="30">
        <f t="shared" si="5"/>
        <v>7.1187999999999985</v>
      </c>
      <c r="E14" s="30">
        <f t="shared" si="5"/>
        <v>2.7175</v>
      </c>
      <c r="F14" s="30">
        <f t="shared" si="5"/>
        <v>10.794799999999999</v>
      </c>
      <c r="G14" s="30">
        <f t="shared" si="5"/>
        <v>18.530800000000003</v>
      </c>
      <c r="H14" s="30">
        <f t="shared" si="5"/>
        <v>9.7223</v>
      </c>
      <c r="I14" s="30">
        <f t="shared" si="5"/>
        <v>16.6486</v>
      </c>
      <c r="J14" s="30">
        <f t="shared" si="5"/>
        <v>-2.1576999999999997</v>
      </c>
      <c r="K14" s="30">
        <f t="shared" si="5"/>
        <v>34.66614173228347</v>
      </c>
      <c r="L14" s="30">
        <f t="shared" si="5"/>
        <v>24.87716535433071</v>
      </c>
      <c r="M14" s="30">
        <f>M11/M12</f>
        <v>26.55984251968504</v>
      </c>
      <c r="N14" s="30">
        <f t="shared" si="5"/>
        <v>29.174488188976376</v>
      </c>
      <c r="O14" s="30">
        <f t="shared" si="5"/>
        <v>32.11370078740157</v>
      </c>
      <c r="P14" s="30">
        <f t="shared" si="5"/>
        <v>37.47968503937008</v>
      </c>
      <c r="Q14" s="30">
        <f t="shared" si="5"/>
        <v>43.72094488188976</v>
      </c>
      <c r="R14" s="30">
        <f>R11/R12</f>
        <v>46.79685039370079</v>
      </c>
      <c r="S14" s="30">
        <f t="shared" si="5"/>
        <v>53.54929133858268</v>
      </c>
      <c r="T14" s="30">
        <f t="shared" si="5"/>
        <v>59.42125984251968</v>
      </c>
    </row>
    <row r="15" spans="1:20" ht="12.75">
      <c r="A15" s="25" t="s">
        <v>54</v>
      </c>
      <c r="B15" s="30"/>
      <c r="C15" s="30"/>
      <c r="D15" s="30"/>
      <c r="E15" s="30"/>
      <c r="F15" s="30"/>
      <c r="G15" s="30"/>
      <c r="H15" s="30"/>
      <c r="I15" s="30"/>
      <c r="J15" s="31" t="s">
        <v>4</v>
      </c>
      <c r="K15" s="30" t="s">
        <v>4</v>
      </c>
      <c r="L15" s="30" t="s">
        <v>4</v>
      </c>
      <c r="M15" s="30">
        <v>1.05</v>
      </c>
      <c r="N15" s="80">
        <f>M15*1.12</f>
        <v>1.1760000000000002</v>
      </c>
      <c r="O15" s="80">
        <f aca="true" t="shared" si="6" ref="O15:T15">N15*1.12</f>
        <v>1.3171200000000003</v>
      </c>
      <c r="P15" s="80">
        <f t="shared" si="6"/>
        <v>1.4751744000000004</v>
      </c>
      <c r="Q15" s="80">
        <f t="shared" si="6"/>
        <v>1.6521953280000006</v>
      </c>
      <c r="R15" s="80">
        <f t="shared" si="6"/>
        <v>1.8504587673600008</v>
      </c>
      <c r="S15" s="80">
        <f t="shared" si="6"/>
        <v>2.072513819443201</v>
      </c>
      <c r="T15" s="80">
        <f t="shared" si="6"/>
        <v>2.3212154777763856</v>
      </c>
    </row>
    <row r="16" spans="1:20" ht="12.75">
      <c r="A16" s="25" t="s">
        <v>85</v>
      </c>
      <c r="B16" s="30"/>
      <c r="C16" s="30"/>
      <c r="D16" s="30"/>
      <c r="E16" s="30"/>
      <c r="F16" s="30"/>
      <c r="G16" s="30"/>
      <c r="H16" s="30"/>
      <c r="I16" s="30"/>
      <c r="J16" s="31" t="s">
        <v>4</v>
      </c>
      <c r="K16" s="31" t="s">
        <v>4</v>
      </c>
      <c r="L16" s="31" t="s">
        <v>4</v>
      </c>
      <c r="M16" s="31">
        <f aca="true" t="shared" si="7" ref="M16:T16">M14/M15</f>
        <v>25.295088113985752</v>
      </c>
      <c r="N16" s="32">
        <f t="shared" si="7"/>
        <v>24.808238255932288</v>
      </c>
      <c r="O16" s="32">
        <f t="shared" si="7"/>
        <v>24.381757764973248</v>
      </c>
      <c r="P16" s="32">
        <f t="shared" si="7"/>
        <v>25.406951909801357</v>
      </c>
      <c r="Q16" s="32">
        <f t="shared" si="7"/>
        <v>26.462334168935346</v>
      </c>
      <c r="R16" s="32">
        <f>R14/R15</f>
        <v>25.289323501363167</v>
      </c>
      <c r="S16" s="32">
        <f t="shared" si="7"/>
        <v>25.837845246778215</v>
      </c>
      <c r="T16" s="32">
        <f t="shared" si="7"/>
        <v>25.59920025151755</v>
      </c>
    </row>
    <row r="17" spans="1:17" ht="12.75">
      <c r="A17" s="33"/>
      <c r="B17" s="33"/>
      <c r="C17" s="33"/>
      <c r="D17" s="33"/>
      <c r="E17" s="33"/>
      <c r="F17" s="33"/>
      <c r="G17" s="33"/>
      <c r="H17" s="33"/>
      <c r="I17" s="33"/>
      <c r="J17" s="33"/>
      <c r="K17" s="33"/>
      <c r="L17" s="33"/>
      <c r="M17" s="33"/>
      <c r="N17" s="33"/>
      <c r="O17" s="33"/>
      <c r="P17" s="33"/>
      <c r="Q17" s="33"/>
    </row>
    <row r="18" spans="1:18" ht="12.75">
      <c r="A18" s="33" t="s">
        <v>75</v>
      </c>
      <c r="B18" s="34">
        <f>T16*12</f>
        <v>307.19040301821065</v>
      </c>
      <c r="C18" s="33"/>
      <c r="D18" s="33"/>
      <c r="E18" s="33" t="s">
        <v>4</v>
      </c>
      <c r="F18" s="33"/>
      <c r="G18" s="33"/>
      <c r="H18" s="33"/>
      <c r="I18" s="33"/>
      <c r="J18" s="33" t="s">
        <v>4</v>
      </c>
      <c r="K18" s="33"/>
      <c r="L18" s="33"/>
      <c r="M18" s="33"/>
      <c r="N18" s="33"/>
      <c r="O18" s="33"/>
      <c r="P18" s="33"/>
      <c r="Q18" s="33"/>
      <c r="R18" s="33"/>
    </row>
    <row r="19" spans="1:18" ht="12.75">
      <c r="A19" s="33" t="s">
        <v>36</v>
      </c>
      <c r="B19" s="34">
        <f>SUM(M16:S16)+B18</f>
        <v>484.67194197998003</v>
      </c>
      <c r="C19" s="33" t="s">
        <v>4</v>
      </c>
      <c r="D19" s="33"/>
      <c r="E19" s="33" t="s">
        <v>4</v>
      </c>
      <c r="F19" s="33"/>
      <c r="G19" s="33"/>
      <c r="H19" s="33"/>
      <c r="I19" s="33"/>
      <c r="J19" s="33"/>
      <c r="K19" s="33"/>
      <c r="L19" s="33"/>
      <c r="M19" s="33"/>
      <c r="N19" s="33"/>
      <c r="O19" s="33"/>
      <c r="P19" s="33"/>
      <c r="Q19" s="33"/>
      <c r="R19" s="33"/>
    </row>
    <row r="20" spans="1:19" ht="12.75">
      <c r="A20" s="33" t="s">
        <v>443</v>
      </c>
      <c r="B20" s="34">
        <v>0</v>
      </c>
      <c r="C20" s="33"/>
      <c r="D20" s="33"/>
      <c r="E20" s="33"/>
      <c r="F20" s="33"/>
      <c r="G20" s="33"/>
      <c r="H20" s="33"/>
      <c r="I20" s="33"/>
      <c r="J20" s="143" t="s">
        <v>446</v>
      </c>
      <c r="K20" s="144"/>
      <c r="L20" s="144"/>
      <c r="M20" s="144"/>
      <c r="N20" s="144"/>
      <c r="O20" s="144"/>
      <c r="P20" s="144"/>
      <c r="Q20" s="144"/>
      <c r="R20" s="144"/>
      <c r="S20" s="145"/>
    </row>
    <row r="21" ht="12.75">
      <c r="A21" s="26" t="s">
        <v>481</v>
      </c>
    </row>
    <row r="22" spans="1:18" ht="12.75">
      <c r="A22" s="33" t="s">
        <v>477</v>
      </c>
      <c r="B22" s="34">
        <v>0</v>
      </c>
      <c r="C22" s="33"/>
      <c r="D22" s="33"/>
      <c r="E22" s="33"/>
      <c r="F22" s="33"/>
      <c r="G22" s="33"/>
      <c r="H22" s="33"/>
      <c r="I22" s="33"/>
      <c r="J22" s="143" t="s">
        <v>475</v>
      </c>
      <c r="K22" s="144"/>
      <c r="L22" s="144"/>
      <c r="M22" s="144"/>
      <c r="N22" s="144"/>
      <c r="O22" s="144"/>
      <c r="P22" s="144"/>
      <c r="Q22" s="144"/>
      <c r="R22" s="33"/>
    </row>
    <row r="23" spans="1:18" ht="25.5">
      <c r="A23" s="79" t="s">
        <v>478</v>
      </c>
      <c r="B23" s="34">
        <v>0</v>
      </c>
      <c r="C23" s="33"/>
      <c r="D23" s="33"/>
      <c r="E23" s="33"/>
      <c r="F23" s="33"/>
      <c r="G23" s="33"/>
      <c r="H23" s="33"/>
      <c r="I23" s="33"/>
      <c r="J23" s="143" t="s">
        <v>447</v>
      </c>
      <c r="K23" s="144"/>
      <c r="L23" s="144"/>
      <c r="M23" s="144"/>
      <c r="N23" s="144"/>
      <c r="O23" s="144"/>
      <c r="P23" s="144"/>
      <c r="Q23" s="144"/>
      <c r="R23" s="144"/>
    </row>
    <row r="24" spans="1:19" ht="25.5">
      <c r="A24" s="79" t="s">
        <v>444</v>
      </c>
      <c r="B24" s="34">
        <v>0</v>
      </c>
      <c r="C24" s="33"/>
      <c r="D24" s="33"/>
      <c r="E24" s="33"/>
      <c r="F24" s="33"/>
      <c r="G24" s="33"/>
      <c r="H24" s="33"/>
      <c r="I24" s="33"/>
      <c r="J24" s="143" t="s">
        <v>480</v>
      </c>
      <c r="K24" s="143"/>
      <c r="L24" s="143"/>
      <c r="M24" s="143"/>
      <c r="N24" s="143"/>
      <c r="O24" s="143"/>
      <c r="P24" s="143"/>
      <c r="Q24" s="143"/>
      <c r="R24" s="143"/>
      <c r="S24" s="143"/>
    </row>
    <row r="25" spans="1:18" ht="12.75">
      <c r="A25" s="36" t="s">
        <v>301</v>
      </c>
      <c r="B25" s="34">
        <f>B19-B20-B21-B22-B23+B24</f>
        <v>484.67194197998003</v>
      </c>
      <c r="C25" s="33"/>
      <c r="D25" s="33"/>
      <c r="E25" s="33"/>
      <c r="F25" s="33"/>
      <c r="G25" s="33" t="s">
        <v>4</v>
      </c>
      <c r="H25" s="33"/>
      <c r="I25" s="33"/>
      <c r="J25" s="143" t="s">
        <v>476</v>
      </c>
      <c r="K25" s="144"/>
      <c r="L25" s="144"/>
      <c r="M25" s="144"/>
      <c r="N25" s="144"/>
      <c r="O25" s="144"/>
      <c r="P25" s="144"/>
      <c r="Q25" s="144"/>
      <c r="R25" s="33"/>
    </row>
    <row r="26" spans="1:17" ht="12.75">
      <c r="A26" s="33"/>
      <c r="B26" s="33"/>
      <c r="C26" s="33"/>
      <c r="D26" s="33" t="s">
        <v>4</v>
      </c>
      <c r="E26" s="33"/>
      <c r="F26" s="33"/>
      <c r="G26" s="33" t="s">
        <v>4</v>
      </c>
      <c r="H26" s="33"/>
      <c r="I26" s="33"/>
      <c r="J26" s="33"/>
      <c r="K26" s="33"/>
      <c r="L26" s="33"/>
      <c r="M26" s="33"/>
      <c r="N26" s="33"/>
      <c r="O26" s="33"/>
      <c r="P26" s="33"/>
      <c r="Q26" s="33"/>
    </row>
    <row r="27" spans="1:17" ht="12.75">
      <c r="A27" s="33"/>
      <c r="B27" s="33"/>
      <c r="C27" s="33"/>
      <c r="D27" s="33"/>
      <c r="E27" s="33"/>
      <c r="F27" s="33"/>
      <c r="G27" s="33" t="s">
        <v>4</v>
      </c>
      <c r="H27" s="33"/>
      <c r="I27" s="33"/>
      <c r="J27" s="33"/>
      <c r="K27" s="33"/>
      <c r="L27" s="33"/>
      <c r="M27" s="33"/>
      <c r="N27" s="33"/>
      <c r="O27" s="33"/>
      <c r="P27" s="33"/>
      <c r="Q27" s="33"/>
    </row>
    <row r="28" spans="1:17" ht="12.75">
      <c r="A28" s="35" t="s">
        <v>57</v>
      </c>
      <c r="B28" s="33"/>
      <c r="C28" s="33"/>
      <c r="D28" s="33"/>
      <c r="E28" s="33"/>
      <c r="F28" s="33"/>
      <c r="G28" s="33"/>
      <c r="H28" s="33"/>
      <c r="I28" s="33"/>
      <c r="J28" s="33"/>
      <c r="K28" s="33"/>
      <c r="L28" s="33"/>
      <c r="M28" s="33"/>
      <c r="N28" s="33"/>
      <c r="O28" s="33"/>
      <c r="P28" s="33"/>
      <c r="Q28" s="33"/>
    </row>
    <row r="29" spans="1:20" ht="12.75">
      <c r="A29" s="33" t="s">
        <v>74</v>
      </c>
      <c r="B29" s="33"/>
      <c r="C29" s="33"/>
      <c r="D29" s="33"/>
      <c r="E29" s="33"/>
      <c r="F29" s="33"/>
      <c r="G29" s="33"/>
      <c r="H29" s="33"/>
      <c r="I29" s="33"/>
      <c r="J29" s="33"/>
      <c r="K29" s="33"/>
      <c r="L29" s="33"/>
      <c r="M29" s="33"/>
      <c r="N29" s="33"/>
      <c r="O29" s="34">
        <f aca="true" t="shared" si="8" ref="O29:T29">((N3-N4-N5)/(N12)*1.02/0.1)</f>
        <v>373.07584251968507</v>
      </c>
      <c r="P29" s="34">
        <f t="shared" si="8"/>
        <v>414.29990551181095</v>
      </c>
      <c r="Q29" s="34">
        <f t="shared" si="8"/>
        <v>480.27703937007874</v>
      </c>
      <c r="R29" s="34" t="e">
        <f>((#REF!-#REF!-#REF!)/(#REF!)*1.02/0.1)</f>
        <v>#REF!</v>
      </c>
      <c r="S29" s="34">
        <f t="shared" si="8"/>
        <v>586.5562204724409</v>
      </c>
      <c r="T29" s="34">
        <f t="shared" si="8"/>
        <v>661.0531653543308</v>
      </c>
    </row>
    <row r="30" spans="1:20" ht="12.75">
      <c r="A30" s="33" t="s">
        <v>78</v>
      </c>
      <c r="B30" s="33"/>
      <c r="C30" s="33"/>
      <c r="D30" s="33"/>
      <c r="E30" s="33"/>
      <c r="F30" s="33"/>
      <c r="G30" s="33"/>
      <c r="H30" s="33"/>
      <c r="I30" s="33"/>
      <c r="J30" s="33"/>
      <c r="K30" s="33"/>
      <c r="L30" s="33"/>
      <c r="M30" s="33"/>
      <c r="N30" s="37"/>
      <c r="O30" s="33" t="s">
        <v>4</v>
      </c>
      <c r="P30" s="38">
        <f>P29+SUM(N16:O16)</f>
        <v>463.4899015327165</v>
      </c>
      <c r="Q30" s="38">
        <f>Q29+SUM(N16:P16)</f>
        <v>554.8739873007856</v>
      </c>
      <c r="R30" s="33" t="e">
        <f>R29+SUM(O16:Q16)</f>
        <v>#REF!</v>
      </c>
      <c r="S30" s="33">
        <f>S29+SUM(P16:R16)</f>
        <v>663.7148300525408</v>
      </c>
      <c r="T30" s="33">
        <f>T29+SUM(Q16:S16)</f>
        <v>738.6426682714075</v>
      </c>
    </row>
    <row r="31" ht="12.75">
      <c r="A31" s="26" t="s">
        <v>83</v>
      </c>
    </row>
    <row r="32" ht="12.75">
      <c r="A32" s="26" t="s">
        <v>84</v>
      </c>
    </row>
    <row r="34" ht="12.75">
      <c r="A34" s="26" t="s">
        <v>53</v>
      </c>
    </row>
    <row r="35" spans="1:4" ht="12.75">
      <c r="A35" s="26" t="s">
        <v>76</v>
      </c>
      <c r="D35" s="26" t="s">
        <v>56</v>
      </c>
    </row>
    <row r="36" ht="12.75">
      <c r="A36" s="18" t="s">
        <v>302</v>
      </c>
    </row>
    <row r="37" ht="12.75">
      <c r="A37" s="26" t="s">
        <v>77</v>
      </c>
    </row>
    <row r="38" ht="12.75">
      <c r="A38" s="26" t="s">
        <v>79</v>
      </c>
    </row>
    <row r="39" ht="12.75">
      <c r="A39" s="26" t="s">
        <v>81</v>
      </c>
    </row>
    <row r="40" ht="12.75">
      <c r="A40" s="26" t="s">
        <v>35</v>
      </c>
    </row>
    <row r="41" ht="12.75">
      <c r="A41" s="26" t="s">
        <v>23</v>
      </c>
    </row>
    <row r="63" spans="1:17" ht="12.75">
      <c r="A63" s="33" t="s">
        <v>70</v>
      </c>
      <c r="B63" s="33"/>
      <c r="C63" s="33"/>
      <c r="D63" s="33"/>
      <c r="E63" s="33"/>
      <c r="F63" s="33"/>
      <c r="G63" s="33"/>
      <c r="H63" s="33">
        <f>1028/65</f>
        <v>15.815384615384616</v>
      </c>
      <c r="I63" s="33">
        <f>1860/65</f>
        <v>28.615384615384617</v>
      </c>
      <c r="J63" s="33">
        <f>1890/65</f>
        <v>29.076923076923077</v>
      </c>
      <c r="K63" s="33">
        <f>2634/65</f>
        <v>40.52307692307692</v>
      </c>
      <c r="L63" s="33">
        <f>3047/65</f>
        <v>46.87692307692308</v>
      </c>
      <c r="M63" s="33"/>
      <c r="N63" s="33"/>
      <c r="O63" s="33"/>
      <c r="P63" s="33"/>
      <c r="Q63" s="33"/>
    </row>
    <row r="64" spans="1:17" ht="12.75">
      <c r="A64" s="33"/>
      <c r="B64" s="33"/>
      <c r="C64" s="33"/>
      <c r="D64" s="33"/>
      <c r="E64" s="33"/>
      <c r="F64" s="33"/>
      <c r="G64" s="33"/>
      <c r="H64" s="33"/>
      <c r="I64" s="33">
        <f>I63-H63</f>
        <v>12.8</v>
      </c>
      <c r="J64" s="33">
        <f>J63-I63</f>
        <v>0.4615384615384599</v>
      </c>
      <c r="K64" s="33">
        <f>K63-J63</f>
        <v>11.446153846153845</v>
      </c>
      <c r="L64" s="33">
        <f>L63-K63</f>
        <v>6.353846153846156</v>
      </c>
      <c r="M64" s="33"/>
      <c r="N64" s="33"/>
      <c r="O64" s="33"/>
      <c r="P64" s="33"/>
      <c r="Q64" s="33"/>
    </row>
    <row r="65" spans="1:17" ht="12.75">
      <c r="A65" s="33"/>
      <c r="B65" s="33"/>
      <c r="C65" s="33"/>
      <c r="D65" s="33"/>
      <c r="E65" s="33"/>
      <c r="F65" s="33"/>
      <c r="G65" s="33"/>
      <c r="H65" s="33"/>
      <c r="I65" s="33">
        <f>I64+E14</f>
        <v>15.5175</v>
      </c>
      <c r="J65" s="33">
        <f>J64+F14</f>
        <v>11.256338461538459</v>
      </c>
      <c r="K65" s="33">
        <f>K64+G14</f>
        <v>29.976953846153847</v>
      </c>
      <c r="L65" s="33">
        <f>L64+H14</f>
        <v>16.076146153846157</v>
      </c>
      <c r="M65" s="33"/>
      <c r="N65" s="33"/>
      <c r="O65" s="33"/>
      <c r="P65" s="33"/>
      <c r="Q65" s="33"/>
    </row>
    <row r="66" spans="1:17" ht="12.75">
      <c r="A66" s="33"/>
      <c r="B66" s="33"/>
      <c r="C66" s="33"/>
      <c r="D66" s="33"/>
      <c r="E66" s="33"/>
      <c r="F66" s="33"/>
      <c r="G66" s="33"/>
      <c r="H66" s="33"/>
      <c r="I66" s="33"/>
      <c r="J66" s="33"/>
      <c r="K66" s="33"/>
      <c r="L66" s="33"/>
      <c r="M66" s="33"/>
      <c r="N66" s="33"/>
      <c r="O66" s="33"/>
      <c r="P66" s="33"/>
      <c r="Q66" s="33"/>
    </row>
    <row r="67" spans="1:17" ht="12.75">
      <c r="A67" s="33"/>
      <c r="B67" s="33"/>
      <c r="C67" s="33"/>
      <c r="D67" s="33"/>
      <c r="E67" s="33"/>
      <c r="F67" s="33"/>
      <c r="G67" s="33"/>
      <c r="H67" s="33"/>
      <c r="I67" s="33"/>
      <c r="J67" s="33"/>
      <c r="K67" s="33"/>
      <c r="L67" s="33">
        <f>300/27</f>
        <v>11.11111111111111</v>
      </c>
      <c r="M67" s="33"/>
      <c r="N67" s="33"/>
      <c r="O67" s="33"/>
      <c r="P67" s="33"/>
      <c r="Q67" s="33"/>
    </row>
  </sheetData>
  <sheetProtection/>
  <mergeCells count="2">
    <mergeCell ref="B1:L1"/>
    <mergeCell ref="M1:T1"/>
  </mergeCells>
  <printOptions gridLines="1"/>
  <pageMargins left="0.75" right="0.75"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W53"/>
  <sheetViews>
    <sheetView zoomScalePageLayoutView="0" workbookViewId="0" topLeftCell="A1">
      <pane xSplit="1" ySplit="2" topLeftCell="G13" activePane="bottomRight" state="frozen"/>
      <selection pane="topLeft" activeCell="A1" sqref="A1"/>
      <selection pane="topRight" activeCell="B1" sqref="B1"/>
      <selection pane="bottomLeft" activeCell="A3" sqref="A3"/>
      <selection pane="bottomRight" activeCell="R38" sqref="R38"/>
    </sheetView>
  </sheetViews>
  <sheetFormatPr defaultColWidth="9.125" defaultRowHeight="13.5"/>
  <cols>
    <col min="1" max="1" width="21.625" style="26" bestFit="1" customWidth="1"/>
    <col min="2" max="2" width="6.125" style="26" customWidth="1"/>
    <col min="3" max="3" width="8.375" style="26" bestFit="1" customWidth="1"/>
    <col min="4" max="6" width="7.375" style="26" bestFit="1" customWidth="1"/>
    <col min="7" max="7" width="8.00390625" style="26" bestFit="1" customWidth="1"/>
    <col min="8" max="8" width="7.625" style="26" bestFit="1" customWidth="1"/>
    <col min="9" max="9" width="7.375" style="26" bestFit="1" customWidth="1"/>
    <col min="10" max="10" width="6.75390625" style="26" bestFit="1" customWidth="1"/>
    <col min="11" max="13" width="7.375" style="26" bestFit="1" customWidth="1"/>
    <col min="14" max="14" width="9.25390625" style="26" bestFit="1" customWidth="1"/>
    <col min="15" max="20" width="9.125" style="26" customWidth="1"/>
    <col min="21" max="21" width="10.50390625" style="26" bestFit="1" customWidth="1"/>
    <col min="22" max="16384" width="9.125" style="26" customWidth="1"/>
  </cols>
  <sheetData>
    <row r="1" spans="1:22" ht="15" customHeight="1">
      <c r="A1" s="39"/>
      <c r="B1" s="252" t="s">
        <v>482</v>
      </c>
      <c r="C1" s="252"/>
      <c r="D1" s="252"/>
      <c r="E1" s="252"/>
      <c r="F1" s="252"/>
      <c r="G1" s="252"/>
      <c r="H1" s="252"/>
      <c r="I1" s="252"/>
      <c r="J1" s="252"/>
      <c r="K1" s="252"/>
      <c r="L1" s="253"/>
      <c r="M1" s="254" t="s">
        <v>71</v>
      </c>
      <c r="N1" s="255"/>
      <c r="O1" s="255"/>
      <c r="P1" s="255"/>
      <c r="Q1" s="255"/>
      <c r="R1" s="255"/>
      <c r="S1" s="255"/>
      <c r="T1" s="255"/>
      <c r="U1" s="256" t="s">
        <v>676</v>
      </c>
      <c r="V1" s="257"/>
    </row>
    <row r="2" spans="1:22" ht="12.75">
      <c r="A2" s="40"/>
      <c r="B2" s="37">
        <v>2002</v>
      </c>
      <c r="C2" s="37">
        <f aca="true" t="shared" si="0" ref="C2:L2">B2+1</f>
        <v>2003</v>
      </c>
      <c r="D2" s="33">
        <f t="shared" si="0"/>
        <v>2004</v>
      </c>
      <c r="E2" s="33">
        <f t="shared" si="0"/>
        <v>2005</v>
      </c>
      <c r="F2" s="33">
        <f t="shared" si="0"/>
        <v>2006</v>
      </c>
      <c r="G2" s="33">
        <f t="shared" si="0"/>
        <v>2007</v>
      </c>
      <c r="H2" s="33">
        <f t="shared" si="0"/>
        <v>2008</v>
      </c>
      <c r="I2" s="33">
        <f t="shared" si="0"/>
        <v>2009</v>
      </c>
      <c r="J2" s="33">
        <f t="shared" si="0"/>
        <v>2010</v>
      </c>
      <c r="K2" s="33">
        <f t="shared" si="0"/>
        <v>2011</v>
      </c>
      <c r="L2" s="42">
        <f t="shared" si="0"/>
        <v>2012</v>
      </c>
      <c r="M2" s="40">
        <f>L2+1</f>
        <v>2013</v>
      </c>
      <c r="N2" s="33">
        <f aca="true" t="shared" si="1" ref="N2:T2">M2+1</f>
        <v>2014</v>
      </c>
      <c r="O2" s="33">
        <f t="shared" si="1"/>
        <v>2015</v>
      </c>
      <c r="P2" s="33">
        <f t="shared" si="1"/>
        <v>2016</v>
      </c>
      <c r="Q2" s="33">
        <f t="shared" si="1"/>
        <v>2017</v>
      </c>
      <c r="R2" s="33">
        <f t="shared" si="1"/>
        <v>2018</v>
      </c>
      <c r="S2" s="33">
        <f t="shared" si="1"/>
        <v>2019</v>
      </c>
      <c r="T2" s="33">
        <f t="shared" si="1"/>
        <v>2020</v>
      </c>
      <c r="U2" s="166" t="s">
        <v>674</v>
      </c>
      <c r="V2" s="167" t="s">
        <v>675</v>
      </c>
    </row>
    <row r="3" spans="1:23" ht="12.75">
      <c r="A3" s="43" t="s">
        <v>14</v>
      </c>
      <c r="B3" s="44">
        <f>'Biz model '!B13</f>
        <v>5946</v>
      </c>
      <c r="C3" s="44">
        <f>'Biz model '!C13</f>
        <v>6971</v>
      </c>
      <c r="D3" s="44">
        <f>'Biz model '!D13</f>
        <v>7986</v>
      </c>
      <c r="E3" s="44">
        <f>'Biz model '!E13</f>
        <v>8241</v>
      </c>
      <c r="F3" s="44">
        <f>'Biz model '!F13</f>
        <v>9867</v>
      </c>
      <c r="G3" s="44">
        <f>'Biz model '!G13</f>
        <v>11683</v>
      </c>
      <c r="H3" s="44">
        <f>'Biz model '!H13</f>
        <v>13191</v>
      </c>
      <c r="I3" s="44">
        <f>'Biz model '!I13</f>
        <v>16609</v>
      </c>
      <c r="J3" s="44">
        <f>'Biz model '!J13</f>
        <v>20219</v>
      </c>
      <c r="K3" s="44">
        <f>'Biz model '!K13</f>
        <v>24739</v>
      </c>
      <c r="L3" s="82">
        <f>'Biz model '!L13</f>
        <v>29684</v>
      </c>
      <c r="M3" s="46">
        <v>34000</v>
      </c>
      <c r="N3" s="45">
        <v>38000</v>
      </c>
      <c r="O3" s="45">
        <v>42000</v>
      </c>
      <c r="P3" s="45">
        <v>46000</v>
      </c>
      <c r="Q3" s="45">
        <v>53000</v>
      </c>
      <c r="R3" s="45">
        <v>60000</v>
      </c>
      <c r="S3" s="45">
        <v>68000</v>
      </c>
      <c r="T3" s="45">
        <v>75000</v>
      </c>
      <c r="U3" s="168">
        <f>(T3/L3)^(1/8)-1</f>
        <v>0.12283865437235963</v>
      </c>
      <c r="V3" s="169"/>
      <c r="W3" s="141"/>
    </row>
    <row r="4" spans="1:22" ht="12.75">
      <c r="A4" s="41" t="s">
        <v>86</v>
      </c>
      <c r="B4" s="48" t="s">
        <v>4</v>
      </c>
      <c r="C4" s="48">
        <f aca="true" t="shared" si="2" ref="C4:T4">(C3-B3)/B3</f>
        <v>0.17238479650184999</v>
      </c>
      <c r="D4" s="48">
        <f t="shared" si="2"/>
        <v>0.14560321331229378</v>
      </c>
      <c r="E4" s="48">
        <f t="shared" si="2"/>
        <v>0.03193087903831705</v>
      </c>
      <c r="F4" s="48">
        <f t="shared" si="2"/>
        <v>0.19730615216599928</v>
      </c>
      <c r="G4" s="48">
        <f t="shared" si="2"/>
        <v>0.18404783622174928</v>
      </c>
      <c r="H4" s="48">
        <f t="shared" si="2"/>
        <v>0.1290764358469571</v>
      </c>
      <c r="I4" s="48">
        <f t="shared" si="2"/>
        <v>0.25911606398301873</v>
      </c>
      <c r="J4" s="48">
        <f t="shared" si="2"/>
        <v>0.21735203805165873</v>
      </c>
      <c r="K4" s="48">
        <f t="shared" si="2"/>
        <v>0.22355210445620455</v>
      </c>
      <c r="L4" s="81">
        <f t="shared" si="2"/>
        <v>0.19988681838392822</v>
      </c>
      <c r="M4" s="50">
        <f t="shared" si="2"/>
        <v>0.14539819431343484</v>
      </c>
      <c r="N4" s="48">
        <f t="shared" si="2"/>
        <v>0.11764705882352941</v>
      </c>
      <c r="O4" s="48">
        <f t="shared" si="2"/>
        <v>0.10526315789473684</v>
      </c>
      <c r="P4" s="48">
        <f t="shared" si="2"/>
        <v>0.09523809523809523</v>
      </c>
      <c r="Q4" s="48">
        <f t="shared" si="2"/>
        <v>0.15217391304347827</v>
      </c>
      <c r="R4" s="48">
        <f t="shared" si="2"/>
        <v>0.1320754716981132</v>
      </c>
      <c r="S4" s="48">
        <f t="shared" si="2"/>
        <v>0.13333333333333333</v>
      </c>
      <c r="T4" s="48">
        <f t="shared" si="2"/>
        <v>0.10294117647058823</v>
      </c>
      <c r="U4" s="166"/>
      <c r="V4" s="170"/>
    </row>
    <row r="5" spans="1:22" ht="12.75">
      <c r="A5" s="43" t="s">
        <v>59</v>
      </c>
      <c r="B5" s="34">
        <f aca="true" t="shared" si="3" ref="B5:I5">B3-B7</f>
        <v>4988</v>
      </c>
      <c r="C5" s="34">
        <f t="shared" si="3"/>
        <v>6108</v>
      </c>
      <c r="D5" s="34">
        <f t="shared" si="3"/>
        <v>7097</v>
      </c>
      <c r="E5" s="34">
        <f t="shared" si="3"/>
        <v>7343</v>
      </c>
      <c r="F5" s="34">
        <f t="shared" si="3"/>
        <v>8825</v>
      </c>
      <c r="G5" s="34">
        <f t="shared" si="3"/>
        <v>10320</v>
      </c>
      <c r="H5" s="34">
        <f t="shared" si="3"/>
        <v>11666</v>
      </c>
      <c r="I5" s="34">
        <f t="shared" si="3"/>
        <v>14146</v>
      </c>
      <c r="J5" s="34">
        <f>J3-J7</f>
        <v>17172</v>
      </c>
      <c r="K5" s="34">
        <f>K3-K7</f>
        <v>21067</v>
      </c>
      <c r="L5" s="47">
        <f>L3-L7</f>
        <v>24858</v>
      </c>
      <c r="M5" s="46">
        <f aca="true" t="shared" si="4" ref="M5:T5">M6*M3</f>
        <v>27200</v>
      </c>
      <c r="N5" s="45">
        <f t="shared" si="4"/>
        <v>30400</v>
      </c>
      <c r="O5" s="45">
        <f t="shared" si="4"/>
        <v>33600</v>
      </c>
      <c r="P5" s="45">
        <f t="shared" si="4"/>
        <v>36800</v>
      </c>
      <c r="Q5" s="45">
        <f t="shared" si="4"/>
        <v>42400</v>
      </c>
      <c r="R5" s="45">
        <f>R6*R3</f>
        <v>48000</v>
      </c>
      <c r="S5" s="45">
        <f t="shared" si="4"/>
        <v>54400</v>
      </c>
      <c r="T5" s="45">
        <f t="shared" si="4"/>
        <v>60000</v>
      </c>
      <c r="U5" s="166"/>
      <c r="V5" s="167"/>
    </row>
    <row r="6" spans="1:23" ht="12.75">
      <c r="A6" s="41" t="s">
        <v>21</v>
      </c>
      <c r="B6" s="49">
        <f aca="true" t="shared" si="5" ref="B6:L6">B5/B3</f>
        <v>0.8388832828792465</v>
      </c>
      <c r="C6" s="49">
        <f t="shared" si="5"/>
        <v>0.8762014058241285</v>
      </c>
      <c r="D6" s="49">
        <f t="shared" si="5"/>
        <v>0.8886801903330829</v>
      </c>
      <c r="E6" s="49">
        <f t="shared" si="5"/>
        <v>0.8910326416697003</v>
      </c>
      <c r="F6" s="49">
        <f t="shared" si="5"/>
        <v>0.8943954596128509</v>
      </c>
      <c r="G6" s="49">
        <f t="shared" si="5"/>
        <v>0.8833347599075579</v>
      </c>
      <c r="H6" s="49">
        <f t="shared" si="5"/>
        <v>0.8843908725646275</v>
      </c>
      <c r="I6" s="49">
        <f t="shared" si="5"/>
        <v>0.8517069058943946</v>
      </c>
      <c r="J6" s="49">
        <f t="shared" si="5"/>
        <v>0.8493001632128196</v>
      </c>
      <c r="K6" s="49">
        <f t="shared" si="5"/>
        <v>0.8515703949229961</v>
      </c>
      <c r="L6" s="55">
        <f t="shared" si="5"/>
        <v>0.8374208327718636</v>
      </c>
      <c r="M6" s="54">
        <v>0.8</v>
      </c>
      <c r="N6" s="53">
        <v>0.8</v>
      </c>
      <c r="O6" s="53">
        <v>0.8</v>
      </c>
      <c r="P6" s="53">
        <v>0.8</v>
      </c>
      <c r="Q6" s="53">
        <v>0.8</v>
      </c>
      <c r="R6" s="53">
        <v>0.8</v>
      </c>
      <c r="S6" s="53">
        <v>0.8</v>
      </c>
      <c r="T6" s="53">
        <v>0.8</v>
      </c>
      <c r="U6" s="166"/>
      <c r="V6" s="167"/>
      <c r="W6" s="26" t="s">
        <v>4</v>
      </c>
    </row>
    <row r="7" spans="1:22" ht="12.75">
      <c r="A7" s="43" t="s">
        <v>3</v>
      </c>
      <c r="B7" s="45">
        <f>B10+B13+B15+B18</f>
        <v>958</v>
      </c>
      <c r="C7" s="45">
        <f aca="true" t="shared" si="6" ref="C7:I7">C10+C13+C15+C18</f>
        <v>863</v>
      </c>
      <c r="D7" s="45">
        <f t="shared" si="6"/>
        <v>889</v>
      </c>
      <c r="E7" s="45">
        <f t="shared" si="6"/>
        <v>898</v>
      </c>
      <c r="F7" s="45">
        <f t="shared" si="6"/>
        <v>1042</v>
      </c>
      <c r="G7" s="45">
        <f t="shared" si="6"/>
        <v>1363</v>
      </c>
      <c r="H7" s="45">
        <f t="shared" si="6"/>
        <v>1525</v>
      </c>
      <c r="I7" s="45">
        <f t="shared" si="6"/>
        <v>2463</v>
      </c>
      <c r="J7" s="45">
        <f>J10+J13+J15+J18</f>
        <v>3047</v>
      </c>
      <c r="K7" s="45">
        <f>K10+K13+K15+K18</f>
        <v>3672</v>
      </c>
      <c r="L7" s="45">
        <f>L10+L13+L15+L18</f>
        <v>4826</v>
      </c>
      <c r="M7" s="46">
        <f aca="true" t="shared" si="7" ref="M7:T7">M3*M9</f>
        <v>5440</v>
      </c>
      <c r="N7" s="45">
        <f t="shared" si="7"/>
        <v>6080</v>
      </c>
      <c r="O7" s="45">
        <f t="shared" si="7"/>
        <v>6720</v>
      </c>
      <c r="P7" s="45">
        <f t="shared" si="7"/>
        <v>7820.000000000001</v>
      </c>
      <c r="Q7" s="45">
        <f t="shared" si="7"/>
        <v>9010</v>
      </c>
      <c r="R7" s="45">
        <f>R3*R9</f>
        <v>9600</v>
      </c>
      <c r="S7" s="45">
        <f t="shared" si="7"/>
        <v>10880</v>
      </c>
      <c r="T7" s="45">
        <f t="shared" si="7"/>
        <v>12000</v>
      </c>
      <c r="U7" s="166"/>
      <c r="V7" s="167"/>
    </row>
    <row r="8" spans="1:22" ht="12.75">
      <c r="A8" s="40" t="s">
        <v>87</v>
      </c>
      <c r="B8" s="52" t="s">
        <v>4</v>
      </c>
      <c r="C8" s="52">
        <f aca="true" t="shared" si="8" ref="C8:T8">(C7-B7)/B7</f>
        <v>-0.09916492693110647</v>
      </c>
      <c r="D8" s="52">
        <f t="shared" si="8"/>
        <v>0.030127462340672075</v>
      </c>
      <c r="E8" s="52">
        <f t="shared" si="8"/>
        <v>0.010123734533183352</v>
      </c>
      <c r="F8" s="52">
        <f t="shared" si="8"/>
        <v>0.1603563474387528</v>
      </c>
      <c r="G8" s="52">
        <f t="shared" si="8"/>
        <v>0.30806142034548945</v>
      </c>
      <c r="H8" s="52">
        <f t="shared" si="8"/>
        <v>0.11885546588407923</v>
      </c>
      <c r="I8" s="52">
        <f t="shared" si="8"/>
        <v>0.6150819672131147</v>
      </c>
      <c r="J8" s="52">
        <f t="shared" si="8"/>
        <v>0.23710921640276086</v>
      </c>
      <c r="K8" s="52">
        <f t="shared" si="8"/>
        <v>0.2051197899573351</v>
      </c>
      <c r="L8" s="55">
        <f t="shared" si="8"/>
        <v>0.3142701525054466</v>
      </c>
      <c r="M8" s="56">
        <f t="shared" si="8"/>
        <v>0.12722751761292997</v>
      </c>
      <c r="N8" s="52">
        <f t="shared" si="8"/>
        <v>0.11764705882352941</v>
      </c>
      <c r="O8" s="52">
        <f t="shared" si="8"/>
        <v>0.10526315789473684</v>
      </c>
      <c r="P8" s="52">
        <f t="shared" si="8"/>
        <v>0.16369047619047633</v>
      </c>
      <c r="Q8" s="52">
        <f t="shared" si="8"/>
        <v>0.15217391304347813</v>
      </c>
      <c r="R8" s="52">
        <f t="shared" si="8"/>
        <v>0.06548279689234185</v>
      </c>
      <c r="S8" s="52">
        <f t="shared" si="8"/>
        <v>0.13333333333333333</v>
      </c>
      <c r="T8" s="52">
        <f t="shared" si="8"/>
        <v>0.10294117647058823</v>
      </c>
      <c r="U8" s="166"/>
      <c r="V8" s="167"/>
    </row>
    <row r="9" spans="1:22" ht="12.75">
      <c r="A9" s="41" t="s">
        <v>21</v>
      </c>
      <c r="B9" s="48">
        <f aca="true" t="shared" si="9" ref="B9:L9">B7/B3</f>
        <v>0.16111671712075346</v>
      </c>
      <c r="C9" s="48">
        <f t="shared" si="9"/>
        <v>0.12379859417587147</v>
      </c>
      <c r="D9" s="48">
        <f t="shared" si="9"/>
        <v>0.11131980966691711</v>
      </c>
      <c r="E9" s="48">
        <f t="shared" si="9"/>
        <v>0.10896735833029972</v>
      </c>
      <c r="F9" s="48">
        <f t="shared" si="9"/>
        <v>0.10560454038714909</v>
      </c>
      <c r="G9" s="48">
        <f t="shared" si="9"/>
        <v>0.11666524009244202</v>
      </c>
      <c r="H9" s="48">
        <f t="shared" si="9"/>
        <v>0.1156091274353726</v>
      </c>
      <c r="I9" s="48">
        <f t="shared" si="9"/>
        <v>0.1482930941056054</v>
      </c>
      <c r="J9" s="48">
        <f t="shared" si="9"/>
        <v>0.15069983678718038</v>
      </c>
      <c r="K9" s="48">
        <f t="shared" si="9"/>
        <v>0.14842960507700392</v>
      </c>
      <c r="L9" s="81">
        <f t="shared" si="9"/>
        <v>0.16257916722813637</v>
      </c>
      <c r="M9" s="54">
        <v>0.16</v>
      </c>
      <c r="N9" s="53">
        <v>0.16</v>
      </c>
      <c r="O9" s="53">
        <v>0.16</v>
      </c>
      <c r="P9" s="53">
        <v>0.17</v>
      </c>
      <c r="Q9" s="53">
        <v>0.17</v>
      </c>
      <c r="R9" s="53">
        <v>0.16</v>
      </c>
      <c r="S9" s="53">
        <v>0.16</v>
      </c>
      <c r="T9" s="53">
        <v>0.16</v>
      </c>
      <c r="U9" s="168">
        <f>SUM(M9:T9)/8</f>
        <v>0.1625</v>
      </c>
      <c r="V9" s="171">
        <f>SUM(B9:L9)/10</f>
        <v>0.14530830904067318</v>
      </c>
    </row>
    <row r="10" spans="1:22" ht="12.75">
      <c r="A10" s="43" t="s">
        <v>19</v>
      </c>
      <c r="B10" s="33">
        <f>'Biz model '!B21*'Biz model '!B13</f>
        <v>334</v>
      </c>
      <c r="C10" s="33">
        <f>'Biz model '!C21*'Biz model '!C13</f>
        <v>364</v>
      </c>
      <c r="D10" s="33">
        <f>'Biz model '!D21*'Biz model '!D13</f>
        <v>413</v>
      </c>
      <c r="E10" s="33">
        <f>'Biz model '!E21*'Biz model '!E13</f>
        <v>392</v>
      </c>
      <c r="F10" s="33">
        <f>'Biz model '!F21*'Biz model '!F13</f>
        <v>413</v>
      </c>
      <c r="G10" s="33">
        <f>'Biz model '!G21*'Biz model '!G13</f>
        <v>401.99999999999994</v>
      </c>
      <c r="H10" s="33">
        <f>'Biz model '!H21*'Biz model '!H13</f>
        <v>395</v>
      </c>
      <c r="I10" s="33">
        <f>'Biz model '!I21*'Biz model '!I13</f>
        <v>525</v>
      </c>
      <c r="J10" s="33">
        <f>'Biz model '!J21*'Biz model '!J13</f>
        <v>529</v>
      </c>
      <c r="K10" s="33">
        <f>'Biz model '!K21*'Biz model '!K13</f>
        <v>628</v>
      </c>
      <c r="L10" s="42">
        <f>'Biz model '!L21*'Biz model '!L13</f>
        <v>724</v>
      </c>
      <c r="M10" s="43">
        <f>M12*M31</f>
        <v>1000</v>
      </c>
      <c r="N10" s="44">
        <f>N12*N31</f>
        <v>1200</v>
      </c>
      <c r="O10" s="44">
        <f aca="true" t="shared" si="10" ref="O10:T10">O12*O31</f>
        <v>1400</v>
      </c>
      <c r="P10" s="44">
        <f t="shared" si="10"/>
        <v>1600</v>
      </c>
      <c r="Q10" s="44">
        <f t="shared" si="10"/>
        <v>1700</v>
      </c>
      <c r="R10" s="44">
        <f>R12*R31</f>
        <v>1800</v>
      </c>
      <c r="S10" s="44">
        <f t="shared" si="10"/>
        <v>1900</v>
      </c>
      <c r="T10" s="44">
        <f t="shared" si="10"/>
        <v>2000</v>
      </c>
      <c r="U10" s="166"/>
      <c r="V10" s="167"/>
    </row>
    <row r="11" spans="1:22" ht="12.75">
      <c r="A11" s="40" t="s">
        <v>20</v>
      </c>
      <c r="B11" s="49">
        <f aca="true" t="shared" si="11" ref="B11:I11">B10/B3</f>
        <v>0.05617221661621258</v>
      </c>
      <c r="C11" s="49">
        <f t="shared" si="11"/>
        <v>0.05221632477406398</v>
      </c>
      <c r="D11" s="49">
        <f t="shared" si="11"/>
        <v>0.05171550212872527</v>
      </c>
      <c r="E11" s="49">
        <f t="shared" si="11"/>
        <v>0.04756704283460745</v>
      </c>
      <c r="F11" s="49">
        <f t="shared" si="11"/>
        <v>0.04185669403060707</v>
      </c>
      <c r="G11" s="49">
        <f t="shared" si="11"/>
        <v>0.03440897029872464</v>
      </c>
      <c r="H11" s="49">
        <f t="shared" si="11"/>
        <v>0.029944659237358805</v>
      </c>
      <c r="I11" s="49">
        <f t="shared" si="11"/>
        <v>0.031609368414714914</v>
      </c>
      <c r="J11" s="49">
        <f aca="true" t="shared" si="12" ref="J11:T11">J10/J3</f>
        <v>0.02616350957020624</v>
      </c>
      <c r="K11" s="49">
        <f t="shared" si="12"/>
        <v>0.025385019604672782</v>
      </c>
      <c r="L11" s="51">
        <f t="shared" si="12"/>
        <v>0.024390243902439025</v>
      </c>
      <c r="M11" s="57">
        <f t="shared" si="12"/>
        <v>0.029411764705882353</v>
      </c>
      <c r="N11" s="49">
        <f t="shared" si="12"/>
        <v>0.031578947368421054</v>
      </c>
      <c r="O11" s="49">
        <f t="shared" si="12"/>
        <v>0.03333333333333333</v>
      </c>
      <c r="P11" s="49">
        <f t="shared" si="12"/>
        <v>0.034782608695652174</v>
      </c>
      <c r="Q11" s="49">
        <f t="shared" si="12"/>
        <v>0.03207547169811321</v>
      </c>
      <c r="R11" s="49">
        <f>R10/R3</f>
        <v>0.03</v>
      </c>
      <c r="S11" s="49">
        <f t="shared" si="12"/>
        <v>0.027941176470588237</v>
      </c>
      <c r="T11" s="49">
        <f t="shared" si="12"/>
        <v>0.02666666666666667</v>
      </c>
      <c r="U11" s="166"/>
      <c r="V11" s="167"/>
    </row>
    <row r="12" spans="1:22" ht="12.75">
      <c r="A12" s="41" t="s">
        <v>67</v>
      </c>
      <c r="B12" s="49">
        <f aca="true" t="shared" si="13" ref="B12:L12">B10/B31</f>
        <v>0.11368277739959155</v>
      </c>
      <c r="C12" s="49">
        <f t="shared" si="13"/>
        <v>0.11677895412255374</v>
      </c>
      <c r="D12" s="49">
        <f t="shared" si="13"/>
        <v>0.14666193181818182</v>
      </c>
      <c r="E12" s="49">
        <f t="shared" si="13"/>
        <v>0.13176470588235295</v>
      </c>
      <c r="F12" s="49">
        <f t="shared" si="13"/>
        <v>0.1276266996291718</v>
      </c>
      <c r="G12" s="49">
        <f t="shared" si="13"/>
        <v>0.11978545887961857</v>
      </c>
      <c r="H12" s="49">
        <f t="shared" si="13"/>
        <v>0.08566471481240512</v>
      </c>
      <c r="I12" s="49">
        <f t="shared" si="13"/>
        <v>0.09718622732321362</v>
      </c>
      <c r="J12" s="49">
        <f t="shared" si="13"/>
        <v>0.09427909463553734</v>
      </c>
      <c r="K12" s="49">
        <f t="shared" si="13"/>
        <v>0.08463611859838274</v>
      </c>
      <c r="L12" s="51">
        <f t="shared" si="13"/>
        <v>0.0981029810298103</v>
      </c>
      <c r="M12" s="57">
        <v>0.1</v>
      </c>
      <c r="N12" s="49">
        <v>0.1</v>
      </c>
      <c r="O12" s="49">
        <v>0.1</v>
      </c>
      <c r="P12" s="49">
        <v>0.1</v>
      </c>
      <c r="Q12" s="49">
        <v>0.1</v>
      </c>
      <c r="R12" s="49">
        <v>0.1</v>
      </c>
      <c r="S12" s="49">
        <v>0.1</v>
      </c>
      <c r="T12" s="49">
        <v>0.1</v>
      </c>
      <c r="U12" s="168">
        <f>SUM(M12:T12)/10</f>
        <v>0.07999999999999999</v>
      </c>
      <c r="V12" s="171">
        <f>SUM(B12:L12)/10</f>
        <v>0.12161696641308195</v>
      </c>
    </row>
    <row r="13" spans="1:22" ht="12.75">
      <c r="A13" s="43" t="s">
        <v>73</v>
      </c>
      <c r="B13" s="58">
        <f>'Biz model '!B22*'Biz model '!B13</f>
        <v>423</v>
      </c>
      <c r="C13" s="58">
        <f>'Biz model '!C22*'Biz model '!C13</f>
        <v>327</v>
      </c>
      <c r="D13" s="58">
        <f>'Biz model '!D22*'Biz model '!D13</f>
        <v>255.99999999999997</v>
      </c>
      <c r="E13" s="58">
        <f>'Biz model '!E22*'Biz model '!E13</f>
        <v>250</v>
      </c>
      <c r="F13" s="58">
        <f>'Biz model '!F22*'Biz model '!F13</f>
        <v>269</v>
      </c>
      <c r="G13" s="58">
        <f>'Biz model '!G22*'Biz model '!G13</f>
        <v>330</v>
      </c>
      <c r="H13" s="58">
        <f>'Biz model '!H22*'Biz model '!H13</f>
        <v>389</v>
      </c>
      <c r="I13" s="58">
        <f>'Biz model '!I22*'Biz model '!I13</f>
        <v>545</v>
      </c>
      <c r="J13" s="58">
        <f>'Biz model '!J22*'Biz model '!J13</f>
        <v>330</v>
      </c>
      <c r="K13" s="58">
        <f>'Biz model '!K22*'Biz model '!K13</f>
        <v>425</v>
      </c>
      <c r="L13" s="58">
        <f>'Biz model '!L22*'Biz model '!L13</f>
        <v>547</v>
      </c>
      <c r="M13" s="43">
        <f>M3*M14</f>
        <v>510</v>
      </c>
      <c r="N13" s="44">
        <f aca="true" t="shared" si="14" ref="N13:T13">N14*N3</f>
        <v>532</v>
      </c>
      <c r="O13" s="44">
        <f t="shared" si="14"/>
        <v>588</v>
      </c>
      <c r="P13" s="44">
        <f t="shared" si="14"/>
        <v>644</v>
      </c>
      <c r="Q13" s="44">
        <f t="shared" si="14"/>
        <v>742</v>
      </c>
      <c r="R13" s="44">
        <f t="shared" si="14"/>
        <v>840</v>
      </c>
      <c r="S13" s="44">
        <f t="shared" si="14"/>
        <v>952</v>
      </c>
      <c r="T13" s="44">
        <f t="shared" si="14"/>
        <v>1050</v>
      </c>
      <c r="U13" s="166"/>
      <c r="V13" s="167"/>
    </row>
    <row r="14" spans="1:23" ht="12.75">
      <c r="A14" s="41" t="s">
        <v>21</v>
      </c>
      <c r="B14" s="48">
        <f aca="true" t="shared" si="15" ref="B14:L14">B13/B3</f>
        <v>0.07114026236125126</v>
      </c>
      <c r="C14" s="48">
        <f t="shared" si="15"/>
        <v>0.04690862143164539</v>
      </c>
      <c r="D14" s="48">
        <f t="shared" si="15"/>
        <v>0.03205609817180065</v>
      </c>
      <c r="E14" s="48">
        <f t="shared" si="15"/>
        <v>0.030336124256764956</v>
      </c>
      <c r="F14" s="48">
        <f t="shared" si="15"/>
        <v>0.027262592479983784</v>
      </c>
      <c r="G14" s="48">
        <f t="shared" si="15"/>
        <v>0.028246169648206795</v>
      </c>
      <c r="H14" s="48">
        <f t="shared" si="15"/>
        <v>0.02948980365400652</v>
      </c>
      <c r="I14" s="48">
        <f t="shared" si="15"/>
        <v>0.03281353483051358</v>
      </c>
      <c r="J14" s="48">
        <f t="shared" si="15"/>
        <v>0.01632128196251051</v>
      </c>
      <c r="K14" s="48">
        <f t="shared" si="15"/>
        <v>0.017179352439468047</v>
      </c>
      <c r="L14" s="81">
        <f t="shared" si="15"/>
        <v>0.018427435655572026</v>
      </c>
      <c r="M14" s="50">
        <v>0.015</v>
      </c>
      <c r="N14" s="48">
        <v>0.014</v>
      </c>
      <c r="O14" s="48">
        <v>0.014</v>
      </c>
      <c r="P14" s="48">
        <v>0.014</v>
      </c>
      <c r="Q14" s="48">
        <v>0.014</v>
      </c>
      <c r="R14" s="48">
        <v>0.014</v>
      </c>
      <c r="S14" s="48">
        <v>0.014</v>
      </c>
      <c r="T14" s="48">
        <v>0.014</v>
      </c>
      <c r="U14" s="168">
        <f>SUM(M14:T14)/8</f>
        <v>0.014124999999999999</v>
      </c>
      <c r="V14" s="171">
        <f>SUM(B14:L14)/10</f>
        <v>0.03501812768917235</v>
      </c>
      <c r="W14" s="26" t="s">
        <v>4</v>
      </c>
    </row>
    <row r="15" spans="1:22" ht="12.75">
      <c r="A15" s="43" t="s">
        <v>60</v>
      </c>
      <c r="B15" s="2">
        <v>90</v>
      </c>
      <c r="C15" s="2">
        <v>30</v>
      </c>
      <c r="D15" s="2">
        <v>10</v>
      </c>
      <c r="E15" s="2">
        <v>20</v>
      </c>
      <c r="F15" s="2">
        <v>60</v>
      </c>
      <c r="G15" s="2">
        <v>130</v>
      </c>
      <c r="H15" s="2">
        <v>230</v>
      </c>
      <c r="I15" s="2">
        <v>420</v>
      </c>
      <c r="J15" s="2">
        <v>740</v>
      </c>
      <c r="K15" s="2">
        <v>870</v>
      </c>
      <c r="L15" s="85">
        <v>1150</v>
      </c>
      <c r="M15" s="61">
        <f>(M7-M10-M13)*M16</f>
        <v>1296.9</v>
      </c>
      <c r="N15" s="59">
        <f>(N7-N10-N13)*N16</f>
        <v>1434.8400000000001</v>
      </c>
      <c r="O15" s="59">
        <f aca="true" t="shared" si="16" ref="O15:T15">(O7-O10-O13)*O16</f>
        <v>1561.5600000000002</v>
      </c>
      <c r="P15" s="59">
        <f t="shared" si="16"/>
        <v>1840.0800000000004</v>
      </c>
      <c r="Q15" s="59">
        <f t="shared" si="16"/>
        <v>2167.44</v>
      </c>
      <c r="R15" s="59">
        <f>(R7-R10-R13)*R16</f>
        <v>2296.8</v>
      </c>
      <c r="S15" s="59">
        <f t="shared" si="16"/>
        <v>2649.2400000000002</v>
      </c>
      <c r="T15" s="59">
        <f t="shared" si="16"/>
        <v>2953.5</v>
      </c>
      <c r="U15" s="166"/>
      <c r="V15" s="167"/>
    </row>
    <row r="16" spans="1:22" ht="12.75">
      <c r="A16" s="40" t="s">
        <v>290</v>
      </c>
      <c r="B16" s="49">
        <f aca="true" t="shared" si="17" ref="B16:L16">(B15/(B18+B15))</f>
        <v>0.44776119402985076</v>
      </c>
      <c r="C16" s="49">
        <f t="shared" si="17"/>
        <v>0.1744186046511628</v>
      </c>
      <c r="D16" s="49">
        <f t="shared" si="17"/>
        <v>0.045454545454545456</v>
      </c>
      <c r="E16" s="49">
        <f t="shared" si="17"/>
        <v>0.078125</v>
      </c>
      <c r="F16" s="49">
        <f t="shared" si="17"/>
        <v>0.16666666666666666</v>
      </c>
      <c r="G16" s="49">
        <f t="shared" si="17"/>
        <v>0.20602218700475436</v>
      </c>
      <c r="H16" s="49">
        <f t="shared" si="17"/>
        <v>0.31039136302294196</v>
      </c>
      <c r="I16" s="49">
        <f t="shared" si="17"/>
        <v>0.3015075376884422</v>
      </c>
      <c r="J16" s="49">
        <f t="shared" si="17"/>
        <v>0.3382084095063985</v>
      </c>
      <c r="K16" s="49">
        <f t="shared" si="17"/>
        <v>0.3321878579610538</v>
      </c>
      <c r="L16" s="51">
        <f t="shared" si="17"/>
        <v>0.3234880450070324</v>
      </c>
      <c r="M16" s="56">
        <v>0.33</v>
      </c>
      <c r="N16" s="52">
        <v>0.33</v>
      </c>
      <c r="O16" s="52">
        <v>0.33</v>
      </c>
      <c r="P16" s="52">
        <v>0.33</v>
      </c>
      <c r="Q16" s="52">
        <v>0.33</v>
      </c>
      <c r="R16" s="52">
        <v>0.33</v>
      </c>
      <c r="S16" s="52">
        <v>0.33</v>
      </c>
      <c r="T16" s="52">
        <v>0.33</v>
      </c>
      <c r="U16" s="166"/>
      <c r="V16" s="167"/>
    </row>
    <row r="17" spans="1:22" ht="12.75">
      <c r="A17" s="40" t="s">
        <v>21</v>
      </c>
      <c r="B17" s="49">
        <f aca="true" t="shared" si="18" ref="B17:L17">B15/B3</f>
        <v>0.015136226034308779</v>
      </c>
      <c r="C17" s="49">
        <f t="shared" si="18"/>
        <v>0.004303543250609668</v>
      </c>
      <c r="D17" s="49">
        <f t="shared" si="18"/>
        <v>0.001252191334835963</v>
      </c>
      <c r="E17" s="49">
        <f t="shared" si="18"/>
        <v>0.0024268899405411964</v>
      </c>
      <c r="F17" s="49">
        <f t="shared" si="18"/>
        <v>0.006080875646093037</v>
      </c>
      <c r="G17" s="49">
        <f t="shared" si="18"/>
        <v>0.011127278952323889</v>
      </c>
      <c r="H17" s="49">
        <f t="shared" si="18"/>
        <v>0.01743613069517095</v>
      </c>
      <c r="I17" s="49">
        <f t="shared" si="18"/>
        <v>0.025287494731771932</v>
      </c>
      <c r="J17" s="49">
        <f t="shared" si="18"/>
        <v>0.03659923834017508</v>
      </c>
      <c r="K17" s="49">
        <f t="shared" si="18"/>
        <v>0.03516714499373459</v>
      </c>
      <c r="L17" s="51">
        <f t="shared" si="18"/>
        <v>0.03874140951354265</v>
      </c>
      <c r="M17" s="50">
        <v>0.052</v>
      </c>
      <c r="N17" s="49">
        <v>0.052</v>
      </c>
      <c r="O17" s="49">
        <v>0.052</v>
      </c>
      <c r="P17" s="49">
        <v>0.052</v>
      </c>
      <c r="Q17" s="49">
        <v>0.052</v>
      </c>
      <c r="R17" s="49">
        <v>0.052</v>
      </c>
      <c r="S17" s="49">
        <v>0.052</v>
      </c>
      <c r="T17" s="49">
        <v>0.052</v>
      </c>
      <c r="U17" s="168">
        <f>SUM(M17:T17)/10</f>
        <v>0.0416</v>
      </c>
      <c r="V17" s="171">
        <f>SUM(B17:L17)/10</f>
        <v>0.019355842343310774</v>
      </c>
    </row>
    <row r="18" spans="1:22" ht="12.75">
      <c r="A18" s="43" t="s">
        <v>72</v>
      </c>
      <c r="B18" s="45">
        <f>'Biz model '!B15*'Biz model '!B13</f>
        <v>111.00000000000001</v>
      </c>
      <c r="C18" s="45">
        <f>'Biz model '!C15*'Biz model '!C13</f>
        <v>142</v>
      </c>
      <c r="D18" s="45">
        <f>'Biz model '!D15*'Biz model '!D13</f>
        <v>210</v>
      </c>
      <c r="E18" s="45">
        <f>'Biz model '!E15*'Biz model '!E13</f>
        <v>236</v>
      </c>
      <c r="F18" s="45">
        <f>'Biz model '!F15*'Biz model '!F13</f>
        <v>300</v>
      </c>
      <c r="G18" s="45">
        <f>'Biz model '!G15*'Biz model '!G13</f>
        <v>501</v>
      </c>
      <c r="H18" s="45">
        <f>'Biz model '!H15*'Biz model '!H13</f>
        <v>511</v>
      </c>
      <c r="I18" s="45">
        <f>'Biz model '!I15*'Biz model '!I13</f>
        <v>973</v>
      </c>
      <c r="J18" s="45">
        <f>'Biz model '!J15*'Biz model '!J13</f>
        <v>1448</v>
      </c>
      <c r="K18" s="45">
        <f>'Biz model '!K15*'Biz model '!K13</f>
        <v>1749</v>
      </c>
      <c r="L18" s="45">
        <f>'Biz model '!L15*'Biz model '!L13</f>
        <v>2405</v>
      </c>
      <c r="M18" s="46">
        <f>M7-M10-M13-M15</f>
        <v>2633.1</v>
      </c>
      <c r="N18" s="45">
        <f>N7-N10-N13-N15</f>
        <v>2913.16</v>
      </c>
      <c r="O18" s="45">
        <f aca="true" t="shared" si="19" ref="O18:T18">O7-O10-O13-O15</f>
        <v>3170.4399999999996</v>
      </c>
      <c r="P18" s="45">
        <f t="shared" si="19"/>
        <v>3735.9200000000005</v>
      </c>
      <c r="Q18" s="45">
        <f t="shared" si="19"/>
        <v>4400.5599999999995</v>
      </c>
      <c r="R18" s="45">
        <f>R7-R10-R13-R15</f>
        <v>4663.2</v>
      </c>
      <c r="S18" s="45">
        <f t="shared" si="19"/>
        <v>5378.76</v>
      </c>
      <c r="T18" s="45">
        <f t="shared" si="19"/>
        <v>5996.5</v>
      </c>
      <c r="U18" s="168">
        <f>(T18/L18)^(1/8)-1</f>
        <v>0.12097994961063319</v>
      </c>
      <c r="V18" s="171" t="s">
        <v>4</v>
      </c>
    </row>
    <row r="19" spans="1:22" ht="12.75">
      <c r="A19" s="40" t="s">
        <v>87</v>
      </c>
      <c r="B19" s="52" t="s">
        <v>4</v>
      </c>
      <c r="C19" s="52">
        <f aca="true" t="shared" si="20" ref="C19:T19">(C18-B18)/B18</f>
        <v>0.2792792792792791</v>
      </c>
      <c r="D19" s="52">
        <f t="shared" si="20"/>
        <v>0.4788732394366197</v>
      </c>
      <c r="E19" s="52">
        <f t="shared" si="20"/>
        <v>0.12380952380952381</v>
      </c>
      <c r="F19" s="52">
        <f t="shared" si="20"/>
        <v>0.2711864406779661</v>
      </c>
      <c r="G19" s="52">
        <f t="shared" si="20"/>
        <v>0.67</v>
      </c>
      <c r="H19" s="52">
        <f t="shared" si="20"/>
        <v>0.01996007984031936</v>
      </c>
      <c r="I19" s="52">
        <f t="shared" si="20"/>
        <v>0.9041095890410958</v>
      </c>
      <c r="J19" s="52">
        <f t="shared" si="20"/>
        <v>0.4881808838643371</v>
      </c>
      <c r="K19" s="52">
        <f t="shared" si="20"/>
        <v>0.2078729281767956</v>
      </c>
      <c r="L19" s="55">
        <f t="shared" si="20"/>
        <v>0.37507146941109204</v>
      </c>
      <c r="M19" s="56">
        <f t="shared" si="20"/>
        <v>0.09484407484407481</v>
      </c>
      <c r="N19" s="52">
        <f t="shared" si="20"/>
        <v>0.10636132315521626</v>
      </c>
      <c r="O19" s="52">
        <f t="shared" si="20"/>
        <v>0.08831646734130627</v>
      </c>
      <c r="P19" s="52">
        <f t="shared" si="20"/>
        <v>0.17836010143702483</v>
      </c>
      <c r="Q19" s="52">
        <f t="shared" si="20"/>
        <v>0.17790530846484906</v>
      </c>
      <c r="R19" s="52">
        <f t="shared" si="20"/>
        <v>0.059683313032886806</v>
      </c>
      <c r="S19" s="52">
        <f t="shared" si="20"/>
        <v>0.15344827586206905</v>
      </c>
      <c r="T19" s="52">
        <f t="shared" si="20"/>
        <v>0.11484803188839059</v>
      </c>
      <c r="U19" s="166"/>
      <c r="V19" s="167"/>
    </row>
    <row r="20" spans="1:22" ht="12.75">
      <c r="A20" s="41" t="s">
        <v>21</v>
      </c>
      <c r="B20" s="48">
        <f aca="true" t="shared" si="21" ref="B20:I20">B18/B3</f>
        <v>0.01866801210898083</v>
      </c>
      <c r="C20" s="48">
        <f t="shared" si="21"/>
        <v>0.02037010471955243</v>
      </c>
      <c r="D20" s="48">
        <f t="shared" si="21"/>
        <v>0.02629601803155522</v>
      </c>
      <c r="E20" s="48">
        <f t="shared" si="21"/>
        <v>0.02863730129838612</v>
      </c>
      <c r="F20" s="48">
        <f t="shared" si="21"/>
        <v>0.030404378230465188</v>
      </c>
      <c r="G20" s="48">
        <f t="shared" si="21"/>
        <v>0.04288282119318668</v>
      </c>
      <c r="H20" s="48">
        <f t="shared" si="21"/>
        <v>0.038738533848836326</v>
      </c>
      <c r="I20" s="48">
        <f t="shared" si="21"/>
        <v>0.05858269612860497</v>
      </c>
      <c r="J20" s="48">
        <f aca="true" t="shared" si="22" ref="J20:T20">J18/J3</f>
        <v>0.07161580691428854</v>
      </c>
      <c r="K20" s="48">
        <f t="shared" si="22"/>
        <v>0.0706980880391285</v>
      </c>
      <c r="L20" s="81">
        <f t="shared" si="22"/>
        <v>0.08102007815658267</v>
      </c>
      <c r="M20" s="50">
        <f>M18/M3</f>
        <v>0.07744411764705882</v>
      </c>
      <c r="N20" s="48">
        <f>N18/N3</f>
        <v>0.07666210526315789</v>
      </c>
      <c r="O20" s="48">
        <f>O18/O3</f>
        <v>0.07548666666666666</v>
      </c>
      <c r="P20" s="48">
        <f t="shared" si="22"/>
        <v>0.08121565217391305</v>
      </c>
      <c r="Q20" s="48">
        <f t="shared" si="22"/>
        <v>0.08302943396226414</v>
      </c>
      <c r="R20" s="48">
        <f>R18/R3</f>
        <v>0.07772</v>
      </c>
      <c r="S20" s="48">
        <f t="shared" si="22"/>
        <v>0.07909941176470589</v>
      </c>
      <c r="T20" s="48">
        <f t="shared" si="22"/>
        <v>0.07995333333333333</v>
      </c>
      <c r="U20" s="168">
        <f>SUM(M20:T20)/8</f>
        <v>0.07882634010138748</v>
      </c>
      <c r="V20" s="171">
        <f>SUM(B20:L20)/10</f>
        <v>0.04879138386695674</v>
      </c>
    </row>
    <row r="21" spans="1:22" ht="12.75">
      <c r="A21" s="43" t="s">
        <v>16</v>
      </c>
      <c r="B21" s="33">
        <v>0</v>
      </c>
      <c r="C21" s="33">
        <f>'Biz model '!C13/'Biz model '!C7</f>
        <v>830.9999999999999</v>
      </c>
      <c r="D21" s="33">
        <f>'Biz model '!D13/'Biz model '!D7</f>
        <v>801</v>
      </c>
      <c r="E21" s="33">
        <f>'Biz model '!E13/'Biz model '!E7</f>
        <v>1199</v>
      </c>
      <c r="F21" s="33">
        <f>'Biz model '!F13/'Biz model '!F7</f>
        <v>875.0000000000001</v>
      </c>
      <c r="G21" s="33">
        <v>20</v>
      </c>
      <c r="H21" s="33">
        <v>20</v>
      </c>
      <c r="I21" s="33">
        <v>20</v>
      </c>
      <c r="J21" s="33">
        <f>'Biz model '!J13/'Biz model '!J7</f>
        <v>2150</v>
      </c>
      <c r="K21" s="33">
        <v>30</v>
      </c>
      <c r="L21" s="33">
        <v>30</v>
      </c>
      <c r="M21" s="43">
        <v>100</v>
      </c>
      <c r="N21" s="44">
        <v>200</v>
      </c>
      <c r="O21" s="44">
        <v>300</v>
      </c>
      <c r="P21" s="44">
        <v>400</v>
      </c>
      <c r="Q21" s="44">
        <v>500</v>
      </c>
      <c r="R21" s="44">
        <v>600</v>
      </c>
      <c r="S21" s="44">
        <v>700</v>
      </c>
      <c r="T21" s="44">
        <v>800</v>
      </c>
      <c r="U21" s="166"/>
      <c r="V21" s="167"/>
    </row>
    <row r="22" spans="1:22" ht="12.75">
      <c r="A22" s="40" t="s">
        <v>604</v>
      </c>
      <c r="B22" s="38" t="e">
        <f>B3/B21</f>
        <v>#DIV/0!</v>
      </c>
      <c r="C22" s="38">
        <f aca="true" t="shared" si="23" ref="C22:K22">C3/C21</f>
        <v>8.388688327316487</v>
      </c>
      <c r="D22" s="38">
        <f t="shared" si="23"/>
        <v>9.97003745318352</v>
      </c>
      <c r="E22" s="38">
        <f t="shared" si="23"/>
        <v>6.8732276897414515</v>
      </c>
      <c r="F22" s="38">
        <f t="shared" si="23"/>
        <v>11.276571428571428</v>
      </c>
      <c r="G22" s="38">
        <f t="shared" si="23"/>
        <v>584.15</v>
      </c>
      <c r="H22" s="38">
        <f t="shared" si="23"/>
        <v>659.55</v>
      </c>
      <c r="I22" s="38">
        <f t="shared" si="23"/>
        <v>830.45</v>
      </c>
      <c r="J22" s="38">
        <f t="shared" si="23"/>
        <v>9.404186046511628</v>
      </c>
      <c r="K22" s="38">
        <f t="shared" si="23"/>
        <v>824.6333333333333</v>
      </c>
      <c r="L22" s="38">
        <f aca="true" t="shared" si="24" ref="L22:T22">L3/L21</f>
        <v>989.4666666666667</v>
      </c>
      <c r="M22" s="40">
        <f t="shared" si="24"/>
        <v>340</v>
      </c>
      <c r="N22" s="33">
        <f t="shared" si="24"/>
        <v>190</v>
      </c>
      <c r="O22" s="33">
        <f t="shared" si="24"/>
        <v>140</v>
      </c>
      <c r="P22" s="33">
        <f t="shared" si="24"/>
        <v>115</v>
      </c>
      <c r="Q22" s="33">
        <f t="shared" si="24"/>
        <v>106</v>
      </c>
      <c r="R22" s="33">
        <f t="shared" si="24"/>
        <v>100</v>
      </c>
      <c r="S22" s="33">
        <f t="shared" si="24"/>
        <v>97.14285714285714</v>
      </c>
      <c r="T22" s="33">
        <f t="shared" si="24"/>
        <v>93.75</v>
      </c>
      <c r="U22" s="166"/>
      <c r="V22" s="167"/>
    </row>
    <row r="23" spans="1:22" ht="12.75">
      <c r="A23" s="40" t="s">
        <v>61</v>
      </c>
      <c r="B23" s="33">
        <v>0</v>
      </c>
      <c r="C23" s="33">
        <v>0</v>
      </c>
      <c r="D23" s="33">
        <f aca="true" t="shared" si="25" ref="D23:T23">D21-C21</f>
        <v>-29.999999999999886</v>
      </c>
      <c r="E23" s="33">
        <f t="shared" si="25"/>
        <v>398</v>
      </c>
      <c r="F23" s="33">
        <f t="shared" si="25"/>
        <v>-323.9999999999999</v>
      </c>
      <c r="G23" s="33">
        <f t="shared" si="25"/>
        <v>-855.0000000000001</v>
      </c>
      <c r="H23" s="33">
        <f t="shared" si="25"/>
        <v>0</v>
      </c>
      <c r="I23" s="33">
        <f t="shared" si="25"/>
        <v>0</v>
      </c>
      <c r="J23" s="33">
        <f t="shared" si="25"/>
        <v>2130</v>
      </c>
      <c r="K23" s="33">
        <f t="shared" si="25"/>
        <v>-2120</v>
      </c>
      <c r="L23" s="42">
        <f t="shared" si="25"/>
        <v>0</v>
      </c>
      <c r="M23" s="40">
        <f t="shared" si="25"/>
        <v>70</v>
      </c>
      <c r="N23" s="33">
        <f t="shared" si="25"/>
        <v>100</v>
      </c>
      <c r="O23" s="33">
        <f t="shared" si="25"/>
        <v>100</v>
      </c>
      <c r="P23" s="33">
        <f t="shared" si="25"/>
        <v>100</v>
      </c>
      <c r="Q23" s="33">
        <f t="shared" si="25"/>
        <v>100</v>
      </c>
      <c r="R23" s="33">
        <f t="shared" si="25"/>
        <v>100</v>
      </c>
      <c r="S23" s="33">
        <f t="shared" si="25"/>
        <v>100</v>
      </c>
      <c r="T23" s="33">
        <f t="shared" si="25"/>
        <v>100</v>
      </c>
      <c r="U23" s="166"/>
      <c r="V23" s="167"/>
    </row>
    <row r="24" spans="1:22" ht="12.75">
      <c r="A24" s="40" t="s">
        <v>17</v>
      </c>
      <c r="B24" s="49">
        <v>0</v>
      </c>
      <c r="C24" s="49">
        <f aca="true" t="shared" si="26" ref="C24:I24">C21/C3</f>
        <v>0.1192081480418878</v>
      </c>
      <c r="D24" s="49">
        <f t="shared" si="26"/>
        <v>0.10030052592036064</v>
      </c>
      <c r="E24" s="49">
        <f t="shared" si="26"/>
        <v>0.14549205193544473</v>
      </c>
      <c r="F24" s="49">
        <f t="shared" si="26"/>
        <v>0.08867943650552347</v>
      </c>
      <c r="G24" s="49">
        <f t="shared" si="26"/>
        <v>0.0017118890695882907</v>
      </c>
      <c r="H24" s="49">
        <f t="shared" si="26"/>
        <v>0.0015161852778409523</v>
      </c>
      <c r="I24" s="49">
        <f t="shared" si="26"/>
        <v>0.0012041664157986633</v>
      </c>
      <c r="J24" s="49">
        <f aca="true" t="shared" si="27" ref="J24:T24">J21/J3</f>
        <v>0.10633562490726545</v>
      </c>
      <c r="K24" s="49">
        <f t="shared" si="27"/>
        <v>0.0012126601721977445</v>
      </c>
      <c r="L24" s="51">
        <f t="shared" si="27"/>
        <v>0.0010106454655706778</v>
      </c>
      <c r="M24" s="57">
        <f t="shared" si="27"/>
        <v>0.0029411764705882353</v>
      </c>
      <c r="N24" s="49">
        <f t="shared" si="27"/>
        <v>0.005263157894736842</v>
      </c>
      <c r="O24" s="49">
        <f t="shared" si="27"/>
        <v>0.007142857142857143</v>
      </c>
      <c r="P24" s="49">
        <f t="shared" si="27"/>
        <v>0.008695652173913044</v>
      </c>
      <c r="Q24" s="49">
        <f t="shared" si="27"/>
        <v>0.009433962264150943</v>
      </c>
      <c r="R24" s="49">
        <f>R21/R3</f>
        <v>0.01</v>
      </c>
      <c r="S24" s="49">
        <f t="shared" si="27"/>
        <v>0.010294117647058823</v>
      </c>
      <c r="T24" s="49">
        <f t="shared" si="27"/>
        <v>0.010666666666666666</v>
      </c>
      <c r="U24" s="168">
        <f>SUM(M24:T24)/10</f>
        <v>0.00644375902599717</v>
      </c>
      <c r="V24" s="171">
        <f>SUM(B24:L24)/10</f>
        <v>0.05666713337114786</v>
      </c>
    </row>
    <row r="25" spans="1:22" ht="12.75">
      <c r="A25" s="40" t="s">
        <v>62</v>
      </c>
      <c r="B25" s="49">
        <v>0</v>
      </c>
      <c r="C25" s="49">
        <f aca="true" t="shared" si="28" ref="C25:T25">C23/(C3-B3)</f>
        <v>0</v>
      </c>
      <c r="D25" s="49">
        <f t="shared" si="28"/>
        <v>-0.029556650246305306</v>
      </c>
      <c r="E25" s="49">
        <f t="shared" si="28"/>
        <v>1.5607843137254902</v>
      </c>
      <c r="F25" s="49">
        <f t="shared" si="28"/>
        <v>-0.19926199261992614</v>
      </c>
      <c r="G25" s="49">
        <f t="shared" si="28"/>
        <v>-0.47081497797356836</v>
      </c>
      <c r="H25" s="49">
        <f t="shared" si="28"/>
        <v>0</v>
      </c>
      <c r="I25" s="49">
        <f t="shared" si="28"/>
        <v>0</v>
      </c>
      <c r="J25" s="49">
        <f t="shared" si="28"/>
        <v>0.590027700831025</v>
      </c>
      <c r="K25" s="49">
        <f t="shared" si="28"/>
        <v>-0.4690265486725664</v>
      </c>
      <c r="L25" s="51">
        <f t="shared" si="28"/>
        <v>0</v>
      </c>
      <c r="M25" s="57">
        <f t="shared" si="28"/>
        <v>0.016218721037998145</v>
      </c>
      <c r="N25" s="49">
        <f t="shared" si="28"/>
        <v>0.025</v>
      </c>
      <c r="O25" s="49">
        <f t="shared" si="28"/>
        <v>0.025</v>
      </c>
      <c r="P25" s="49">
        <f t="shared" si="28"/>
        <v>0.025</v>
      </c>
      <c r="Q25" s="49">
        <f t="shared" si="28"/>
        <v>0.014285714285714285</v>
      </c>
      <c r="R25" s="49">
        <f t="shared" si="28"/>
        <v>0.014285714285714285</v>
      </c>
      <c r="S25" s="49">
        <f t="shared" si="28"/>
        <v>0.0125</v>
      </c>
      <c r="T25" s="49">
        <f t="shared" si="28"/>
        <v>0.014285714285714285</v>
      </c>
      <c r="U25" s="168">
        <f>SUM(M25:T25)/10</f>
        <v>0.014657586389514102</v>
      </c>
      <c r="V25" s="171">
        <f>SUM(B25:L25)/10</f>
        <v>0.09821518450441488</v>
      </c>
    </row>
    <row r="26" spans="1:22" ht="12.75">
      <c r="A26" s="43" t="s">
        <v>58</v>
      </c>
      <c r="B26" s="44" t="e">
        <f>B31-#REF!+B23</f>
        <v>#REF!</v>
      </c>
      <c r="C26" s="44">
        <f aca="true" t="shared" si="29" ref="C26:T26">C31-B31+C23</f>
        <v>179</v>
      </c>
      <c r="D26" s="44">
        <f t="shared" si="29"/>
        <v>-330.9999999999999</v>
      </c>
      <c r="E26" s="44">
        <f t="shared" si="29"/>
        <v>557</v>
      </c>
      <c r="F26" s="44">
        <f t="shared" si="29"/>
        <v>-62.999999999999886</v>
      </c>
      <c r="G26" s="44">
        <f t="shared" si="29"/>
        <v>-735.0000000000001</v>
      </c>
      <c r="H26" s="44">
        <f t="shared" si="29"/>
        <v>1255</v>
      </c>
      <c r="I26" s="44">
        <f t="shared" si="29"/>
        <v>791</v>
      </c>
      <c r="J26" s="44">
        <f t="shared" si="29"/>
        <v>2339</v>
      </c>
      <c r="K26" s="44">
        <f t="shared" si="29"/>
        <v>-311</v>
      </c>
      <c r="L26" s="82">
        <f t="shared" si="29"/>
        <v>-40</v>
      </c>
      <c r="M26" s="43">
        <f t="shared" si="29"/>
        <v>2690</v>
      </c>
      <c r="N26" s="44">
        <f t="shared" si="29"/>
        <v>2100</v>
      </c>
      <c r="O26" s="44">
        <f t="shared" si="29"/>
        <v>2100</v>
      </c>
      <c r="P26" s="44">
        <f t="shared" si="29"/>
        <v>2100</v>
      </c>
      <c r="Q26" s="44">
        <f t="shared" si="29"/>
        <v>1100</v>
      </c>
      <c r="R26" s="44">
        <f t="shared" si="29"/>
        <v>1100</v>
      </c>
      <c r="S26" s="44">
        <f t="shared" si="29"/>
        <v>1100</v>
      </c>
      <c r="T26" s="44">
        <f t="shared" si="29"/>
        <v>1100</v>
      </c>
      <c r="U26" s="166"/>
      <c r="V26" s="167"/>
    </row>
    <row r="27" spans="1:22" ht="12.75">
      <c r="A27" s="40" t="s">
        <v>63</v>
      </c>
      <c r="B27" s="49" t="s">
        <v>4</v>
      </c>
      <c r="C27" s="49">
        <f aca="true" t="shared" si="30" ref="C27:I27">C26/C3</f>
        <v>0.025677808061971022</v>
      </c>
      <c r="D27" s="49">
        <f t="shared" si="30"/>
        <v>-0.04144753318307036</v>
      </c>
      <c r="E27" s="49">
        <f t="shared" si="30"/>
        <v>0.06758888484407233</v>
      </c>
      <c r="F27" s="49">
        <f t="shared" si="30"/>
        <v>-0.006384919428397678</v>
      </c>
      <c r="G27" s="49">
        <f t="shared" si="30"/>
        <v>-0.0629119233073697</v>
      </c>
      <c r="H27" s="49">
        <f t="shared" si="30"/>
        <v>0.09514062618451975</v>
      </c>
      <c r="I27" s="49">
        <f t="shared" si="30"/>
        <v>0.047624781744837134</v>
      </c>
      <c r="J27" s="49">
        <f aca="true" t="shared" si="31" ref="J27:T27">J26/J3</f>
        <v>0.11568326821306692</v>
      </c>
      <c r="K27" s="49">
        <f t="shared" si="31"/>
        <v>-0.012571243785116617</v>
      </c>
      <c r="L27" s="51">
        <f t="shared" si="31"/>
        <v>-0.0013475272874275705</v>
      </c>
      <c r="M27" s="57">
        <f t="shared" si="31"/>
        <v>0.07911764705882353</v>
      </c>
      <c r="N27" s="49">
        <f t="shared" si="31"/>
        <v>0.05526315789473684</v>
      </c>
      <c r="O27" s="49">
        <f t="shared" si="31"/>
        <v>0.05</v>
      </c>
      <c r="P27" s="49">
        <f t="shared" si="31"/>
        <v>0.04565217391304348</v>
      </c>
      <c r="Q27" s="49">
        <f t="shared" si="31"/>
        <v>0.020754716981132074</v>
      </c>
      <c r="R27" s="49">
        <f>R26/R3</f>
        <v>0.018333333333333333</v>
      </c>
      <c r="S27" s="49">
        <f t="shared" si="31"/>
        <v>0.016176470588235296</v>
      </c>
      <c r="T27" s="49">
        <f t="shared" si="31"/>
        <v>0.014666666666666666</v>
      </c>
      <c r="U27" s="168">
        <f>SUM(M27:T27)/8</f>
        <v>0.0374955208044964</v>
      </c>
      <c r="V27" s="171">
        <f>SUM(B27:L27)/10</f>
        <v>0.022705222205708524</v>
      </c>
    </row>
    <row r="28" spans="1:22" ht="12.75">
      <c r="A28" s="40" t="s">
        <v>929</v>
      </c>
      <c r="B28" s="49"/>
      <c r="C28" s="49"/>
      <c r="D28" s="49"/>
      <c r="E28" s="49"/>
      <c r="F28" s="49"/>
      <c r="G28" s="49"/>
      <c r="H28" s="49"/>
      <c r="I28" s="49"/>
      <c r="J28" s="49"/>
      <c r="K28" s="49"/>
      <c r="L28" s="51"/>
      <c r="M28" s="57">
        <f>M26/(M18+M10)</f>
        <v>0.7404145220335251</v>
      </c>
      <c r="N28" s="49">
        <f>N26/(N18+N10)</f>
        <v>0.5105563605597643</v>
      </c>
      <c r="O28" s="49">
        <f aca="true" t="shared" si="32" ref="O28:T28">O26/(O18+O10)</f>
        <v>0.4594743613306378</v>
      </c>
      <c r="P28" s="49">
        <f t="shared" si="32"/>
        <v>0.3935591238249449</v>
      </c>
      <c r="Q28" s="49">
        <f t="shared" si="32"/>
        <v>0.18031131568249473</v>
      </c>
      <c r="R28" s="49">
        <f t="shared" si="32"/>
        <v>0.17019433098155712</v>
      </c>
      <c r="S28" s="49">
        <f t="shared" si="32"/>
        <v>0.15112464210937027</v>
      </c>
      <c r="T28" s="49">
        <f t="shared" si="32"/>
        <v>0.1375601825798787</v>
      </c>
      <c r="U28" s="168"/>
      <c r="V28" s="171"/>
    </row>
    <row r="29" spans="1:22" ht="12.75">
      <c r="A29" s="40" t="s">
        <v>68</v>
      </c>
      <c r="B29" s="59">
        <f aca="true" t="shared" si="33" ref="B29:I29">B31*0.07+B23</f>
        <v>205.66000000000003</v>
      </c>
      <c r="C29" s="59">
        <f t="shared" si="33"/>
        <v>218.19000000000003</v>
      </c>
      <c r="D29" s="59">
        <f t="shared" si="33"/>
        <v>167.12000000000012</v>
      </c>
      <c r="E29" s="59">
        <f t="shared" si="33"/>
        <v>606.25</v>
      </c>
      <c r="F29" s="59">
        <f t="shared" si="33"/>
        <v>-97.47999999999988</v>
      </c>
      <c r="G29" s="59">
        <f t="shared" si="33"/>
        <v>-620.0800000000002</v>
      </c>
      <c r="H29" s="59">
        <f t="shared" si="33"/>
        <v>322.77000000000004</v>
      </c>
      <c r="I29" s="59">
        <f t="shared" si="33"/>
        <v>378.14000000000004</v>
      </c>
      <c r="J29" s="59">
        <f aca="true" t="shared" si="34" ref="J29:T29">J31*0.07+J23</f>
        <v>2522.77</v>
      </c>
      <c r="K29" s="59">
        <f t="shared" si="34"/>
        <v>-1600.6</v>
      </c>
      <c r="L29" s="60">
        <f t="shared" si="34"/>
        <v>516.6</v>
      </c>
      <c r="M29" s="61">
        <f t="shared" si="34"/>
        <v>770.0000000000001</v>
      </c>
      <c r="N29" s="59">
        <f t="shared" si="34"/>
        <v>940.0000000000001</v>
      </c>
      <c r="O29" s="59">
        <f t="shared" si="34"/>
        <v>1080</v>
      </c>
      <c r="P29" s="59">
        <f t="shared" si="34"/>
        <v>1220</v>
      </c>
      <c r="Q29" s="59">
        <f t="shared" si="34"/>
        <v>1290</v>
      </c>
      <c r="R29" s="59">
        <f>R31*0.07+R23</f>
        <v>1360.0000000000002</v>
      </c>
      <c r="S29" s="59">
        <f t="shared" si="34"/>
        <v>1430.0000000000002</v>
      </c>
      <c r="T29" s="59">
        <f t="shared" si="34"/>
        <v>1500.0000000000002</v>
      </c>
      <c r="U29" s="166"/>
      <c r="V29" s="167"/>
    </row>
    <row r="30" spans="1:22" ht="12.75">
      <c r="A30" s="41" t="s">
        <v>92</v>
      </c>
      <c r="B30" s="48">
        <f aca="true" t="shared" si="35" ref="B30:I30">B29/B3</f>
        <v>0.034587958291288266</v>
      </c>
      <c r="C30" s="48">
        <f t="shared" si="35"/>
        <v>0.031299670061684125</v>
      </c>
      <c r="D30" s="48">
        <f t="shared" si="35"/>
        <v>0.020926621587778627</v>
      </c>
      <c r="E30" s="48">
        <f t="shared" si="35"/>
        <v>0.07356510132265502</v>
      </c>
      <c r="F30" s="48">
        <f t="shared" si="35"/>
        <v>-0.009879395966352476</v>
      </c>
      <c r="G30" s="48">
        <f t="shared" si="35"/>
        <v>-0.053075408713515376</v>
      </c>
      <c r="H30" s="48">
        <f t="shared" si="35"/>
        <v>0.02446895610643621</v>
      </c>
      <c r="I30" s="48">
        <f t="shared" si="35"/>
        <v>0.022767174423505333</v>
      </c>
      <c r="J30" s="48">
        <f aca="true" t="shared" si="36" ref="J30:T30">J29/J3</f>
        <v>0.12477224392897769</v>
      </c>
      <c r="K30" s="48">
        <f t="shared" si="36"/>
        <v>-0.06469946238732366</v>
      </c>
      <c r="L30" s="81">
        <f t="shared" si="36"/>
        <v>0.017403314917127072</v>
      </c>
      <c r="M30" s="50">
        <f t="shared" si="36"/>
        <v>0.022647058823529416</v>
      </c>
      <c r="N30" s="48">
        <f t="shared" si="36"/>
        <v>0.02473684210526316</v>
      </c>
      <c r="O30" s="48">
        <f t="shared" si="36"/>
        <v>0.025714285714285714</v>
      </c>
      <c r="P30" s="48">
        <f t="shared" si="36"/>
        <v>0.026521739130434784</v>
      </c>
      <c r="Q30" s="48">
        <f t="shared" si="36"/>
        <v>0.024339622641509434</v>
      </c>
      <c r="R30" s="48">
        <f>R29/R3</f>
        <v>0.022666666666666672</v>
      </c>
      <c r="S30" s="48">
        <f t="shared" si="36"/>
        <v>0.021029411764705887</v>
      </c>
      <c r="T30" s="48">
        <f t="shared" si="36"/>
        <v>0.020000000000000004</v>
      </c>
      <c r="U30" s="168">
        <f>SUM(M30:T30)/8</f>
        <v>0.023456953355799386</v>
      </c>
      <c r="V30" s="171">
        <f>SUM(B30:L30)/10</f>
        <v>0.022213677357226083</v>
      </c>
    </row>
    <row r="31" spans="1:22" ht="12.75">
      <c r="A31" s="40" t="s">
        <v>18</v>
      </c>
      <c r="B31" s="33">
        <f>'Biz model '!B13/'Biz model '!B6</f>
        <v>2938</v>
      </c>
      <c r="C31" s="33">
        <f>'Biz model '!C13/'Biz model '!C6</f>
        <v>3117</v>
      </c>
      <c r="D31" s="33">
        <f>'Biz model '!D13/'Biz model '!D6</f>
        <v>2816</v>
      </c>
      <c r="E31" s="33">
        <f>'Biz model '!E13/'Biz model '!E6</f>
        <v>2975</v>
      </c>
      <c r="F31" s="33">
        <f>'Biz model '!F13/'Biz model '!F6</f>
        <v>3236</v>
      </c>
      <c r="G31" s="33">
        <f>'Biz model '!G13/'Biz model '!G6</f>
        <v>3356</v>
      </c>
      <c r="H31" s="33">
        <f>'Biz model '!H13/'Biz model '!H6</f>
        <v>4611</v>
      </c>
      <c r="I31" s="33">
        <f>'Biz model '!I13/'Biz model '!I6</f>
        <v>5402</v>
      </c>
      <c r="J31" s="33">
        <f>'Biz model '!J13/'Biz model '!J6</f>
        <v>5611</v>
      </c>
      <c r="K31" s="33">
        <f>'Biz model '!K13/'Biz model '!K6</f>
        <v>7420</v>
      </c>
      <c r="L31" s="33">
        <f>'Biz model '!L13/'Biz model '!L6</f>
        <v>7380</v>
      </c>
      <c r="M31" s="62">
        <v>10000</v>
      </c>
      <c r="N31" s="37">
        <v>12000</v>
      </c>
      <c r="O31" s="37">
        <v>14000</v>
      </c>
      <c r="P31" s="37">
        <v>16000</v>
      </c>
      <c r="Q31" s="37">
        <v>17000</v>
      </c>
      <c r="R31" s="37">
        <v>18000</v>
      </c>
      <c r="S31" s="37">
        <v>19000</v>
      </c>
      <c r="T31" s="37">
        <v>20000</v>
      </c>
      <c r="U31" s="166"/>
      <c r="V31" s="167"/>
    </row>
    <row r="32" spans="1:22" ht="12.75">
      <c r="A32" s="40" t="s">
        <v>22</v>
      </c>
      <c r="B32" s="38">
        <f aca="true" t="shared" si="37" ref="B32:I32">B3/B31</f>
        <v>2.0238257317903336</v>
      </c>
      <c r="C32" s="38">
        <f t="shared" si="37"/>
        <v>2.236445299967918</v>
      </c>
      <c r="D32" s="38">
        <f t="shared" si="37"/>
        <v>2.8359375</v>
      </c>
      <c r="E32" s="38">
        <f t="shared" si="37"/>
        <v>2.7700840336134456</v>
      </c>
      <c r="F32" s="38">
        <f t="shared" si="37"/>
        <v>3.0491347342398023</v>
      </c>
      <c r="G32" s="38">
        <f t="shared" si="37"/>
        <v>3.481227651966627</v>
      </c>
      <c r="H32" s="38">
        <f t="shared" si="37"/>
        <v>2.860767729342876</v>
      </c>
      <c r="I32" s="38">
        <f t="shared" si="37"/>
        <v>3.0746019992595337</v>
      </c>
      <c r="J32" s="38">
        <f aca="true" t="shared" si="38" ref="J32:T32">J3/J31</f>
        <v>3.603457494207806</v>
      </c>
      <c r="K32" s="38">
        <f t="shared" si="38"/>
        <v>3.3340970350404313</v>
      </c>
      <c r="L32" s="64">
        <f t="shared" si="38"/>
        <v>4.022222222222222</v>
      </c>
      <c r="M32" s="63">
        <f t="shared" si="38"/>
        <v>3.4</v>
      </c>
      <c r="N32" s="38">
        <f t="shared" si="38"/>
        <v>3.1666666666666665</v>
      </c>
      <c r="O32" s="38">
        <f t="shared" si="38"/>
        <v>3</v>
      </c>
      <c r="P32" s="38">
        <f t="shared" si="38"/>
        <v>2.875</v>
      </c>
      <c r="Q32" s="38">
        <f t="shared" si="38"/>
        <v>3.1176470588235294</v>
      </c>
      <c r="R32" s="38">
        <f>R3/R31</f>
        <v>3.3333333333333335</v>
      </c>
      <c r="S32" s="38">
        <f t="shared" si="38"/>
        <v>3.5789473684210527</v>
      </c>
      <c r="T32" s="38">
        <f t="shared" si="38"/>
        <v>3.75</v>
      </c>
      <c r="U32" s="194">
        <f>SUM(M32:T32)/8</f>
        <v>3.2776993034055724</v>
      </c>
      <c r="V32" s="167">
        <f>SUM(B32:L32)/10</f>
        <v>3.3291801431650994</v>
      </c>
    </row>
    <row r="33" spans="1:22" ht="12.75">
      <c r="A33" s="40" t="s">
        <v>291</v>
      </c>
      <c r="B33" s="38">
        <f aca="true" t="shared" si="39" ref="B33:T33">B18/B37</f>
        <v>1.11</v>
      </c>
      <c r="C33" s="38">
        <f t="shared" si="39"/>
        <v>1.42</v>
      </c>
      <c r="D33" s="38">
        <f t="shared" si="39"/>
        <v>2.1</v>
      </c>
      <c r="E33" s="38">
        <f t="shared" si="39"/>
        <v>2.36</v>
      </c>
      <c r="F33" s="38">
        <f t="shared" si="39"/>
        <v>3</v>
      </c>
      <c r="G33" s="38">
        <f t="shared" si="39"/>
        <v>5.01</v>
      </c>
      <c r="H33" s="38">
        <f t="shared" si="39"/>
        <v>5.11</v>
      </c>
      <c r="I33" s="38">
        <f t="shared" si="39"/>
        <v>9.73</v>
      </c>
      <c r="J33" s="38">
        <f t="shared" si="39"/>
        <v>14.48</v>
      </c>
      <c r="K33" s="38">
        <f t="shared" si="39"/>
        <v>13.771653543307087</v>
      </c>
      <c r="L33" s="64">
        <f t="shared" si="39"/>
        <v>18.937007874015748</v>
      </c>
      <c r="M33" s="63">
        <f t="shared" si="39"/>
        <v>20.73307086614173</v>
      </c>
      <c r="N33" s="38">
        <f t="shared" si="39"/>
        <v>22.93826771653543</v>
      </c>
      <c r="O33" s="38">
        <f t="shared" si="39"/>
        <v>24.964094488188973</v>
      </c>
      <c r="P33" s="38">
        <f t="shared" si="39"/>
        <v>29.41669291338583</v>
      </c>
      <c r="Q33" s="38">
        <f t="shared" si="39"/>
        <v>34.650078740157475</v>
      </c>
      <c r="R33" s="38">
        <f>R18/R37</f>
        <v>36.71811023622047</v>
      </c>
      <c r="S33" s="38">
        <f t="shared" si="39"/>
        <v>42.35244094488189</v>
      </c>
      <c r="T33" s="38">
        <f t="shared" si="39"/>
        <v>47.21653543307087</v>
      </c>
      <c r="U33" s="166"/>
      <c r="V33" s="167" t="s">
        <v>4</v>
      </c>
    </row>
    <row r="34" spans="1:22" ht="12.75">
      <c r="A34" s="40" t="s">
        <v>292</v>
      </c>
      <c r="B34" s="38">
        <f aca="true" t="shared" si="40" ref="B34:I34">B31+B21</f>
        <v>2938</v>
      </c>
      <c r="C34" s="38">
        <f t="shared" si="40"/>
        <v>3948</v>
      </c>
      <c r="D34" s="38">
        <f t="shared" si="40"/>
        <v>3617</v>
      </c>
      <c r="E34" s="38">
        <f t="shared" si="40"/>
        <v>4174</v>
      </c>
      <c r="F34" s="38">
        <f t="shared" si="40"/>
        <v>4111</v>
      </c>
      <c r="G34" s="38">
        <f t="shared" si="40"/>
        <v>3376</v>
      </c>
      <c r="H34" s="38">
        <f t="shared" si="40"/>
        <v>4631</v>
      </c>
      <c r="I34" s="38">
        <f t="shared" si="40"/>
        <v>5422</v>
      </c>
      <c r="J34" s="38">
        <f aca="true" t="shared" si="41" ref="J34:T34">J31+J21</f>
        <v>7761</v>
      </c>
      <c r="K34" s="38">
        <f t="shared" si="41"/>
        <v>7450</v>
      </c>
      <c r="L34" s="64">
        <f t="shared" si="41"/>
        <v>7410</v>
      </c>
      <c r="M34" s="63">
        <f t="shared" si="41"/>
        <v>10100</v>
      </c>
      <c r="N34" s="38">
        <f t="shared" si="41"/>
        <v>12200</v>
      </c>
      <c r="O34" s="38">
        <f t="shared" si="41"/>
        <v>14300</v>
      </c>
      <c r="P34" s="38">
        <f t="shared" si="41"/>
        <v>16400</v>
      </c>
      <c r="Q34" s="38">
        <f t="shared" si="41"/>
        <v>17500</v>
      </c>
      <c r="R34" s="38">
        <f>R31+R21</f>
        <v>18600</v>
      </c>
      <c r="S34" s="38">
        <f t="shared" si="41"/>
        <v>19700</v>
      </c>
      <c r="T34" s="38">
        <f t="shared" si="41"/>
        <v>20800</v>
      </c>
      <c r="U34" s="166"/>
      <c r="V34" s="167"/>
    </row>
    <row r="35" spans="1:22" ht="12.75">
      <c r="A35" s="40" t="s">
        <v>314</v>
      </c>
      <c r="B35" s="38">
        <f aca="true" t="shared" si="42" ref="B35:T35">B3/B34</f>
        <v>2.0238257317903336</v>
      </c>
      <c r="C35" s="38">
        <f t="shared" si="42"/>
        <v>1.7657041540020264</v>
      </c>
      <c r="D35" s="38">
        <f t="shared" si="42"/>
        <v>2.207907105335914</v>
      </c>
      <c r="E35" s="38">
        <f t="shared" si="42"/>
        <v>1.9743651173933876</v>
      </c>
      <c r="F35" s="38">
        <f t="shared" si="42"/>
        <v>2.4001459498905375</v>
      </c>
      <c r="G35" s="38">
        <f t="shared" si="42"/>
        <v>3.4606042654028437</v>
      </c>
      <c r="H35" s="38">
        <f t="shared" si="42"/>
        <v>2.848412869790542</v>
      </c>
      <c r="I35" s="38">
        <f t="shared" si="42"/>
        <v>3.063260789376614</v>
      </c>
      <c r="J35" s="38">
        <f t="shared" si="42"/>
        <v>2.6052055147532536</v>
      </c>
      <c r="K35" s="38">
        <f t="shared" si="42"/>
        <v>3.3206711409395973</v>
      </c>
      <c r="L35" s="64">
        <f t="shared" si="42"/>
        <v>4.005937921727395</v>
      </c>
      <c r="M35" s="63">
        <f t="shared" si="42"/>
        <v>3.366336633663366</v>
      </c>
      <c r="N35" s="38">
        <f t="shared" si="42"/>
        <v>3.1147540983606556</v>
      </c>
      <c r="O35" s="38">
        <f t="shared" si="42"/>
        <v>2.937062937062937</v>
      </c>
      <c r="P35" s="38">
        <f t="shared" si="42"/>
        <v>2.8048780487804876</v>
      </c>
      <c r="Q35" s="38">
        <f t="shared" si="42"/>
        <v>3.0285714285714285</v>
      </c>
      <c r="R35" s="38">
        <f>R3/R34</f>
        <v>3.225806451612903</v>
      </c>
      <c r="S35" s="38">
        <f t="shared" si="42"/>
        <v>3.451776649746193</v>
      </c>
      <c r="T35" s="38">
        <f t="shared" si="42"/>
        <v>3.605769230769231</v>
      </c>
      <c r="U35" s="166"/>
      <c r="V35" s="167"/>
    </row>
    <row r="36" spans="1:22" ht="15">
      <c r="A36" s="113" t="s">
        <v>285</v>
      </c>
      <c r="B36" s="110">
        <v>0</v>
      </c>
      <c r="C36" s="110">
        <f aca="true" t="shared" si="43" ref="C36:T36">C18/C34</f>
        <v>0.03596757852077001</v>
      </c>
      <c r="D36" s="110">
        <f t="shared" si="43"/>
        <v>0.05805916505391208</v>
      </c>
      <c r="E36" s="110">
        <f t="shared" si="43"/>
        <v>0.05654048873981792</v>
      </c>
      <c r="F36" s="110">
        <f t="shared" si="43"/>
        <v>0.07297494526879104</v>
      </c>
      <c r="G36" s="110">
        <f t="shared" si="43"/>
        <v>0.1484004739336493</v>
      </c>
      <c r="H36" s="110">
        <f t="shared" si="43"/>
        <v>0.11034333837184193</v>
      </c>
      <c r="I36" s="110">
        <f t="shared" si="43"/>
        <v>0.17945407598672078</v>
      </c>
      <c r="J36" s="110">
        <f t="shared" si="43"/>
        <v>0.18657389511660868</v>
      </c>
      <c r="K36" s="110">
        <f t="shared" si="43"/>
        <v>0.23476510067114095</v>
      </c>
      <c r="L36" s="111">
        <f t="shared" si="43"/>
        <v>0.32456140350877194</v>
      </c>
      <c r="M36" s="112">
        <f t="shared" si="43"/>
        <v>0.2607029702970297</v>
      </c>
      <c r="N36" s="110">
        <f t="shared" si="43"/>
        <v>0.23878360655737704</v>
      </c>
      <c r="O36" s="110">
        <f t="shared" si="43"/>
        <v>0.22170909090909088</v>
      </c>
      <c r="P36" s="110">
        <f t="shared" si="43"/>
        <v>0.22780000000000003</v>
      </c>
      <c r="Q36" s="110">
        <f t="shared" si="43"/>
        <v>0.2514605714285714</v>
      </c>
      <c r="R36" s="110">
        <f>R18/R34</f>
        <v>0.25070967741935485</v>
      </c>
      <c r="S36" s="110">
        <f t="shared" si="43"/>
        <v>0.27303350253807107</v>
      </c>
      <c r="T36" s="110">
        <f t="shared" si="43"/>
        <v>0.28829326923076926</v>
      </c>
      <c r="U36" s="168">
        <f>SUM(M36:T36)/8</f>
        <v>0.25156158604753304</v>
      </c>
      <c r="V36" s="171">
        <f>SUM(B36:L36)/9</f>
        <v>0.15640449613022497</v>
      </c>
    </row>
    <row r="37" spans="1:22" ht="26.25" thickBot="1">
      <c r="A37" s="142" t="s">
        <v>442</v>
      </c>
      <c r="B37" s="66">
        <v>100</v>
      </c>
      <c r="C37" s="66">
        <v>100</v>
      </c>
      <c r="D37" s="66">
        <v>100</v>
      </c>
      <c r="E37" s="66">
        <v>100</v>
      </c>
      <c r="F37" s="66">
        <v>100</v>
      </c>
      <c r="G37" s="66">
        <v>100</v>
      </c>
      <c r="H37" s="66">
        <v>100</v>
      </c>
      <c r="I37" s="66">
        <v>100</v>
      </c>
      <c r="J37" s="66">
        <v>100</v>
      </c>
      <c r="K37" s="66">
        <v>127</v>
      </c>
      <c r="L37" s="67">
        <v>127</v>
      </c>
      <c r="M37" s="65">
        <v>127</v>
      </c>
      <c r="N37" s="66">
        <v>127</v>
      </c>
      <c r="O37" s="66">
        <v>127</v>
      </c>
      <c r="P37" s="66">
        <v>127</v>
      </c>
      <c r="Q37" s="66">
        <v>127</v>
      </c>
      <c r="R37" s="66">
        <v>127</v>
      </c>
      <c r="S37" s="66">
        <v>127</v>
      </c>
      <c r="T37" s="66">
        <v>127</v>
      </c>
      <c r="U37" s="172"/>
      <c r="V37" s="173"/>
    </row>
    <row r="38" spans="1:13" ht="12.75">
      <c r="A38" s="33"/>
      <c r="B38" s="52"/>
      <c r="C38" s="52"/>
      <c r="D38" s="52"/>
      <c r="E38" s="52"/>
      <c r="F38" s="52"/>
      <c r="G38" s="52"/>
      <c r="H38" s="52"/>
      <c r="I38" s="33"/>
      <c r="J38" s="33"/>
      <c r="K38" s="33"/>
      <c r="L38" s="33"/>
      <c r="M38" s="33"/>
    </row>
    <row r="39" spans="2:13" ht="12.75">
      <c r="B39" s="33"/>
      <c r="C39" s="33"/>
      <c r="D39" s="33"/>
      <c r="E39" s="33"/>
      <c r="F39" s="33"/>
      <c r="G39" s="33"/>
      <c r="H39" s="33"/>
      <c r="I39" s="33"/>
      <c r="J39" s="33"/>
      <c r="K39" s="33"/>
      <c r="L39" s="33"/>
      <c r="M39" s="33"/>
    </row>
    <row r="45" ht="12.75">
      <c r="A45" s="26" t="s">
        <v>4</v>
      </c>
    </row>
    <row r="46" ht="12.75">
      <c r="A46" s="26" t="s">
        <v>4</v>
      </c>
    </row>
    <row r="47" ht="12.75">
      <c r="A47" s="26" t="s">
        <v>4</v>
      </c>
    </row>
    <row r="48" ht="12.75">
      <c r="A48" s="26" t="s">
        <v>4</v>
      </c>
    </row>
    <row r="49" ht="12.75">
      <c r="A49" s="26" t="s">
        <v>4</v>
      </c>
    </row>
    <row r="51" ht="12.75">
      <c r="B51" s="33"/>
    </row>
    <row r="52" ht="12.75">
      <c r="B52" s="33"/>
    </row>
    <row r="53" ht="12.75">
      <c r="B53" s="33"/>
    </row>
  </sheetData>
  <sheetProtection/>
  <mergeCells count="3">
    <mergeCell ref="B1:L1"/>
    <mergeCell ref="M1:T1"/>
    <mergeCell ref="U1:V1"/>
  </mergeCells>
  <printOptions gridLines="1"/>
  <pageMargins left="0.75" right="0.75" top="1" bottom="1" header="0.512" footer="0.512"/>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L21"/>
  <sheetViews>
    <sheetView zoomScale="90" zoomScaleNormal="90" zoomScalePageLayoutView="0" workbookViewId="0" topLeftCell="A1">
      <selection activeCell="B17" sqref="B17"/>
    </sheetView>
  </sheetViews>
  <sheetFormatPr defaultColWidth="8.875" defaultRowHeight="13.5"/>
  <cols>
    <col min="1" max="1" width="8.375" style="3" customWidth="1"/>
    <col min="2" max="16384" width="8.875" style="3" customWidth="1"/>
  </cols>
  <sheetData>
    <row r="1" spans="1:7" ht="14.25">
      <c r="A1" s="3" t="s">
        <v>710</v>
      </c>
      <c r="G1" s="3" t="s">
        <v>4</v>
      </c>
    </row>
    <row r="2" ht="14.25">
      <c r="G2" s="3" t="s">
        <v>4</v>
      </c>
    </row>
    <row r="3" spans="2:7" ht="14.25">
      <c r="B3" s="3" t="s">
        <v>331</v>
      </c>
      <c r="G3" s="3" t="s">
        <v>4</v>
      </c>
    </row>
    <row r="4" spans="1:12" ht="14.25">
      <c r="A4" s="3" t="s">
        <v>29</v>
      </c>
      <c r="B4" s="148">
        <v>0.12</v>
      </c>
      <c r="C4" s="148">
        <v>0.15</v>
      </c>
      <c r="D4" s="148">
        <v>0.2</v>
      </c>
      <c r="E4" s="148" t="s">
        <v>4</v>
      </c>
      <c r="G4" s="3" t="s">
        <v>4</v>
      </c>
      <c r="I4" s="148"/>
      <c r="J4" s="148"/>
      <c r="K4" s="148"/>
      <c r="L4" s="148"/>
    </row>
    <row r="5" spans="1:8" ht="14.25">
      <c r="A5" s="148">
        <v>0.06</v>
      </c>
      <c r="B5" s="195">
        <v>390</v>
      </c>
      <c r="C5" s="195">
        <v>430</v>
      </c>
      <c r="D5" s="195">
        <v>550</v>
      </c>
      <c r="H5" s="148"/>
    </row>
    <row r="6" spans="1:8" ht="14.25">
      <c r="A6" s="148">
        <v>0.07</v>
      </c>
      <c r="B6" s="195">
        <v>450</v>
      </c>
      <c r="C6" s="195">
        <v>530</v>
      </c>
      <c r="D6" s="195">
        <v>650</v>
      </c>
      <c r="H6" s="148"/>
    </row>
    <row r="7" spans="1:8" ht="14.25">
      <c r="A7" s="148">
        <v>0.08</v>
      </c>
      <c r="B7" s="3">
        <v>485</v>
      </c>
      <c r="C7" s="196">
        <v>570</v>
      </c>
      <c r="D7" s="3">
        <v>700</v>
      </c>
      <c r="H7" s="148"/>
    </row>
    <row r="9" ht="14.25">
      <c r="A9" s="3" t="s">
        <v>679</v>
      </c>
    </row>
    <row r="11" ht="14.25">
      <c r="A11" s="3" t="s">
        <v>930</v>
      </c>
    </row>
    <row r="12" ht="14.25">
      <c r="A12" s="197" t="s">
        <v>931</v>
      </c>
    </row>
    <row r="13" ht="14.25">
      <c r="A13" s="3" t="s">
        <v>932</v>
      </c>
    </row>
    <row r="14" ht="14.25">
      <c r="A14" s="3" t="s">
        <v>933</v>
      </c>
    </row>
    <row r="16" spans="2:7" ht="14.25">
      <c r="B16" s="196" t="s">
        <v>934</v>
      </c>
      <c r="C16" s="196"/>
      <c r="D16" s="196"/>
      <c r="E16" s="196"/>
      <c r="F16" s="196"/>
      <c r="G16" s="196"/>
    </row>
    <row r="17" ht="14.25">
      <c r="B17" s="3" t="s">
        <v>936</v>
      </c>
    </row>
    <row r="18" spans="2:5" ht="14.25">
      <c r="B18" s="148"/>
      <c r="C18" s="148"/>
      <c r="D18" s="148"/>
      <c r="E18" s="148"/>
    </row>
    <row r="19" ht="14.25">
      <c r="A19" s="148"/>
    </row>
    <row r="20" ht="14.25">
      <c r="A20" s="148"/>
    </row>
    <row r="21" ht="14.25">
      <c r="A21" s="148"/>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T75"/>
  <sheetViews>
    <sheetView zoomScalePageLayoutView="0" workbookViewId="0" topLeftCell="A20">
      <selection activeCell="K45" sqref="K45"/>
    </sheetView>
  </sheetViews>
  <sheetFormatPr defaultColWidth="9.125" defaultRowHeight="13.5"/>
  <cols>
    <col min="1" max="1" width="23.125" style="4" customWidth="1"/>
    <col min="2" max="2" width="7.875" style="4" customWidth="1"/>
    <col min="3" max="3" width="7.875" style="4" bestFit="1" customWidth="1"/>
    <col min="4" max="4" width="6.375" style="4" customWidth="1"/>
    <col min="5" max="5" width="7.00390625" style="4" bestFit="1" customWidth="1"/>
    <col min="6" max="6" width="6.50390625" style="4" bestFit="1" customWidth="1"/>
    <col min="7" max="7" width="6.875" style="4" bestFit="1" customWidth="1"/>
    <col min="8" max="8" width="8.375" style="4" bestFit="1" customWidth="1"/>
    <col min="9" max="9" width="8.50390625" style="4" bestFit="1" customWidth="1"/>
    <col min="10" max="11" width="7.50390625" style="4" bestFit="1" customWidth="1"/>
    <col min="12" max="12" width="29.875" style="4" customWidth="1"/>
    <col min="13" max="13" width="9.50390625" style="4" customWidth="1"/>
    <col min="14" max="14" width="10.125" style="4" customWidth="1"/>
    <col min="15" max="15" width="12.75390625" style="4" bestFit="1" customWidth="1"/>
    <col min="16" max="16384" width="9.125" style="4" customWidth="1"/>
  </cols>
  <sheetData>
    <row r="1" spans="1:13" ht="12.75">
      <c r="A1" s="228" t="s">
        <v>265</v>
      </c>
      <c r="B1" s="228"/>
      <c r="C1" s="228"/>
      <c r="D1" s="228"/>
      <c r="E1" s="228"/>
      <c r="F1" s="228"/>
      <c r="G1" s="228"/>
      <c r="H1" s="228"/>
      <c r="I1" s="228"/>
      <c r="J1" s="228"/>
      <c r="K1" s="228"/>
      <c r="L1" s="228"/>
      <c r="M1" s="228"/>
    </row>
    <row r="2" spans="1:11" ht="12.75">
      <c r="A2" s="4" t="s">
        <v>4</v>
      </c>
      <c r="B2" s="260" t="s">
        <v>10</v>
      </c>
      <c r="C2" s="260"/>
      <c r="D2" s="260"/>
      <c r="E2" s="260"/>
      <c r="F2" s="260"/>
      <c r="G2" s="260"/>
      <c r="H2" s="260"/>
      <c r="I2" s="260"/>
      <c r="J2" s="260"/>
      <c r="K2" s="260"/>
    </row>
    <row r="3" spans="1:15" ht="12.75">
      <c r="A3" s="114"/>
      <c r="B3" s="115">
        <v>2003</v>
      </c>
      <c r="C3" s="117">
        <f aca="true" t="shared" si="0" ref="C3:K3">B3+1</f>
        <v>2004</v>
      </c>
      <c r="D3" s="117">
        <f t="shared" si="0"/>
        <v>2005</v>
      </c>
      <c r="E3" s="117">
        <f t="shared" si="0"/>
        <v>2006</v>
      </c>
      <c r="F3" s="117">
        <f t="shared" si="0"/>
        <v>2007</v>
      </c>
      <c r="G3" s="117">
        <f t="shared" si="0"/>
        <v>2008</v>
      </c>
      <c r="H3" s="117">
        <f t="shared" si="0"/>
        <v>2009</v>
      </c>
      <c r="I3" s="117">
        <f t="shared" si="0"/>
        <v>2010</v>
      </c>
      <c r="J3" s="117">
        <f t="shared" si="0"/>
        <v>2011</v>
      </c>
      <c r="K3" s="116">
        <f t="shared" si="0"/>
        <v>2012</v>
      </c>
      <c r="L3" s="119" t="s">
        <v>266</v>
      </c>
      <c r="M3" s="96"/>
      <c r="N3" s="96"/>
      <c r="O3" s="96"/>
    </row>
    <row r="4" spans="1:15" ht="12.75">
      <c r="A4" s="120" t="s">
        <v>14</v>
      </c>
      <c r="B4" s="73">
        <f>analysis!C3</f>
        <v>6971</v>
      </c>
      <c r="C4" s="73">
        <f>analysis!D3</f>
        <v>7986</v>
      </c>
      <c r="D4" s="73">
        <f>analysis!E3</f>
        <v>8241</v>
      </c>
      <c r="E4" s="73">
        <f>analysis!F3</f>
        <v>9867</v>
      </c>
      <c r="F4" s="73">
        <f>analysis!G3</f>
        <v>11683</v>
      </c>
      <c r="G4" s="73">
        <f>analysis!H3</f>
        <v>13191</v>
      </c>
      <c r="H4" s="73">
        <f>analysis!I3</f>
        <v>16609</v>
      </c>
      <c r="I4" s="73">
        <f>analysis!J3</f>
        <v>20219</v>
      </c>
      <c r="J4" s="73">
        <f>analysis!K3</f>
        <v>24739</v>
      </c>
      <c r="K4" s="73">
        <f>analysis!L3</f>
        <v>29684</v>
      </c>
      <c r="L4" s="121"/>
      <c r="M4" s="96"/>
      <c r="N4" s="96"/>
      <c r="O4" s="96"/>
    </row>
    <row r="5" spans="1:15" ht="12.75">
      <c r="A5" s="120" t="s">
        <v>90</v>
      </c>
      <c r="B5" s="122">
        <f>analysis!C18</f>
        <v>142</v>
      </c>
      <c r="C5" s="122">
        <f>analysis!D18</f>
        <v>210</v>
      </c>
      <c r="D5" s="122">
        <f>analysis!E18</f>
        <v>236</v>
      </c>
      <c r="E5" s="122">
        <f>analysis!F18</f>
        <v>300</v>
      </c>
      <c r="F5" s="122">
        <f>analysis!G18</f>
        <v>501</v>
      </c>
      <c r="G5" s="122">
        <f>analysis!H18</f>
        <v>511</v>
      </c>
      <c r="H5" s="122">
        <f>analysis!I18</f>
        <v>973</v>
      </c>
      <c r="I5" s="122">
        <f>analysis!J18</f>
        <v>1448</v>
      </c>
      <c r="J5" s="122">
        <f>analysis!K18</f>
        <v>1749</v>
      </c>
      <c r="K5" s="122">
        <f>analysis!L18</f>
        <v>2405</v>
      </c>
      <c r="L5" s="121"/>
      <c r="M5" s="96"/>
      <c r="N5" s="96" t="s">
        <v>4</v>
      </c>
      <c r="O5" s="96"/>
    </row>
    <row r="6" spans="1:15" ht="12.75">
      <c r="A6" s="120" t="s">
        <v>13</v>
      </c>
      <c r="B6" s="123">
        <f aca="true" t="shared" si="1" ref="B6:K6">B5/B9</f>
        <v>1.0289855072463767</v>
      </c>
      <c r="C6" s="123">
        <f t="shared" si="1"/>
        <v>1.5217391304347827</v>
      </c>
      <c r="D6" s="123">
        <f t="shared" si="1"/>
        <v>1.710144927536232</v>
      </c>
      <c r="E6" s="123">
        <f t="shared" si="1"/>
        <v>2.1739130434782608</v>
      </c>
      <c r="F6" s="123">
        <f t="shared" si="1"/>
        <v>3.630434782608696</v>
      </c>
      <c r="G6" s="123">
        <f t="shared" si="1"/>
        <v>3.7028985507246377</v>
      </c>
      <c r="H6" s="123">
        <f t="shared" si="1"/>
        <v>7.050724637681159</v>
      </c>
      <c r="I6" s="123">
        <f t="shared" si="1"/>
        <v>11.401574803149606</v>
      </c>
      <c r="J6" s="123">
        <f t="shared" si="1"/>
        <v>13.771653543307087</v>
      </c>
      <c r="K6" s="123">
        <f t="shared" si="1"/>
        <v>18.937007874015748</v>
      </c>
      <c r="L6" s="121"/>
      <c r="M6" s="96"/>
      <c r="N6" s="96"/>
      <c r="O6" s="96"/>
    </row>
    <row r="7" spans="1:15" ht="12.75">
      <c r="A7" s="120" t="s">
        <v>407</v>
      </c>
      <c r="B7" s="73" t="s">
        <v>4</v>
      </c>
      <c r="C7" s="73" t="s">
        <v>4</v>
      </c>
      <c r="D7" s="73">
        <v>22</v>
      </c>
      <c r="E7" s="73">
        <v>31</v>
      </c>
      <c r="F7" s="73">
        <v>32</v>
      </c>
      <c r="G7" s="73">
        <v>22</v>
      </c>
      <c r="H7" s="73">
        <v>19.8</v>
      </c>
      <c r="I7" s="73">
        <v>79</v>
      </c>
      <c r="J7" s="73">
        <v>143</v>
      </c>
      <c r="K7" s="124">
        <v>184</v>
      </c>
      <c r="L7" s="121"/>
      <c r="M7" s="96"/>
      <c r="N7" s="96"/>
      <c r="O7" s="96"/>
    </row>
    <row r="8" spans="1:15" ht="12.75">
      <c r="A8" s="120" t="s">
        <v>408</v>
      </c>
      <c r="B8" s="73"/>
      <c r="C8" s="73"/>
      <c r="D8" s="73">
        <v>32</v>
      </c>
      <c r="E8" s="73">
        <v>46</v>
      </c>
      <c r="F8" s="73">
        <v>76</v>
      </c>
      <c r="G8" s="73">
        <v>77</v>
      </c>
      <c r="H8" s="73">
        <v>72</v>
      </c>
      <c r="I8" s="73">
        <v>161</v>
      </c>
      <c r="J8" s="73">
        <v>216</v>
      </c>
      <c r="K8" s="73">
        <v>302</v>
      </c>
      <c r="L8" s="121"/>
      <c r="M8" s="96"/>
      <c r="N8" s="96"/>
      <c r="O8" s="96"/>
    </row>
    <row r="9" spans="1:15" ht="12.75">
      <c r="A9" s="120" t="s">
        <v>12</v>
      </c>
      <c r="B9" s="73">
        <f aca="true" t="shared" si="2" ref="B9:G9">27.6*5</f>
        <v>138</v>
      </c>
      <c r="C9" s="73">
        <f t="shared" si="2"/>
        <v>138</v>
      </c>
      <c r="D9" s="73">
        <f t="shared" si="2"/>
        <v>138</v>
      </c>
      <c r="E9" s="73">
        <f t="shared" si="2"/>
        <v>138</v>
      </c>
      <c r="F9" s="73">
        <f t="shared" si="2"/>
        <v>138</v>
      </c>
      <c r="G9" s="73">
        <f t="shared" si="2"/>
        <v>138</v>
      </c>
      <c r="H9" s="73">
        <f>27.6*5</f>
        <v>138</v>
      </c>
      <c r="I9" s="73">
        <v>127</v>
      </c>
      <c r="J9" s="73">
        <f>analysis!K37</f>
        <v>127</v>
      </c>
      <c r="K9" s="73">
        <f>analysis!L37</f>
        <v>127</v>
      </c>
      <c r="L9" s="121"/>
      <c r="M9" s="96"/>
      <c r="N9" s="96"/>
      <c r="O9" s="96"/>
    </row>
    <row r="10" spans="1:15" ht="12.75">
      <c r="A10" s="120" t="s">
        <v>93</v>
      </c>
      <c r="B10" s="122"/>
      <c r="C10" s="122"/>
      <c r="D10" s="122">
        <f aca="true" t="shared" si="3" ref="D10:K10">D7*D9</f>
        <v>3036</v>
      </c>
      <c r="E10" s="122">
        <f t="shared" si="3"/>
        <v>4278</v>
      </c>
      <c r="F10" s="122">
        <f t="shared" si="3"/>
        <v>4416</v>
      </c>
      <c r="G10" s="122">
        <f t="shared" si="3"/>
        <v>3036</v>
      </c>
      <c r="H10" s="122">
        <f t="shared" si="3"/>
        <v>2732.4</v>
      </c>
      <c r="I10" s="122">
        <f t="shared" si="3"/>
        <v>10033</v>
      </c>
      <c r="J10" s="122">
        <f t="shared" si="3"/>
        <v>18161</v>
      </c>
      <c r="K10" s="125">
        <f t="shared" si="3"/>
        <v>23368</v>
      </c>
      <c r="L10" s="121"/>
      <c r="M10" s="96"/>
      <c r="N10" s="96"/>
      <c r="O10" s="96"/>
    </row>
    <row r="11" spans="1:15" ht="12.75">
      <c r="A11" s="120" t="s">
        <v>15</v>
      </c>
      <c r="B11" s="123"/>
      <c r="C11" s="123"/>
      <c r="D11" s="123">
        <f aca="true" t="shared" si="4" ref="D11:K11">D10/D4</f>
        <v>0.3684018929741536</v>
      </c>
      <c r="E11" s="123">
        <f t="shared" si="4"/>
        <v>0.43356643356643354</v>
      </c>
      <c r="F11" s="123">
        <f t="shared" si="4"/>
        <v>0.3779851065650946</v>
      </c>
      <c r="G11" s="123">
        <f t="shared" si="4"/>
        <v>0.23015692517625655</v>
      </c>
      <c r="H11" s="123">
        <f t="shared" si="4"/>
        <v>0.1645132157264134</v>
      </c>
      <c r="I11" s="123">
        <f t="shared" si="4"/>
        <v>0.4962164300905089</v>
      </c>
      <c r="J11" s="123">
        <f t="shared" si="4"/>
        <v>0.7341040462427746</v>
      </c>
      <c r="K11" s="126">
        <f t="shared" si="4"/>
        <v>0.7872254413151867</v>
      </c>
      <c r="L11" s="121"/>
      <c r="M11" s="96"/>
      <c r="N11" s="96"/>
      <c r="O11" s="96"/>
    </row>
    <row r="12" spans="1:15" ht="28.5" customHeight="1">
      <c r="A12" s="120" t="s">
        <v>409</v>
      </c>
      <c r="B12" s="123"/>
      <c r="C12" s="123"/>
      <c r="D12" s="123">
        <f>D7/D6</f>
        <v>12.864406779661017</v>
      </c>
      <c r="E12" s="123">
        <f aca="true" t="shared" si="5" ref="E12:K12">E7/E6</f>
        <v>14.260000000000002</v>
      </c>
      <c r="F12" s="123">
        <f t="shared" si="5"/>
        <v>8.81437125748503</v>
      </c>
      <c r="G12" s="123">
        <f t="shared" si="5"/>
        <v>5.9412915851272015</v>
      </c>
      <c r="H12" s="123">
        <f t="shared" si="5"/>
        <v>2.808221993833505</v>
      </c>
      <c r="I12" s="123">
        <f t="shared" si="5"/>
        <v>6.928867403314918</v>
      </c>
      <c r="J12" s="123">
        <f t="shared" si="5"/>
        <v>10.383647798742139</v>
      </c>
      <c r="K12" s="126">
        <f t="shared" si="5"/>
        <v>9.716424116424117</v>
      </c>
      <c r="L12" s="267" t="s">
        <v>783</v>
      </c>
      <c r="M12" s="268"/>
      <c r="N12" s="268"/>
      <c r="O12" s="96"/>
    </row>
    <row r="13" spans="1:15" ht="12.75">
      <c r="A13" s="120" t="s">
        <v>410</v>
      </c>
      <c r="B13" s="123"/>
      <c r="C13" s="123"/>
      <c r="D13" s="123">
        <f>D8/D6</f>
        <v>18.71186440677966</v>
      </c>
      <c r="E13" s="123">
        <f aca="true" t="shared" si="6" ref="E13:K13">E8/E6</f>
        <v>21.16</v>
      </c>
      <c r="F13" s="123">
        <f t="shared" si="6"/>
        <v>20.934131736526947</v>
      </c>
      <c r="G13" s="123">
        <f t="shared" si="6"/>
        <v>20.794520547945204</v>
      </c>
      <c r="H13" s="123">
        <f t="shared" si="6"/>
        <v>10.211716341212744</v>
      </c>
      <c r="I13" s="123">
        <f t="shared" si="6"/>
        <v>14.120856353591162</v>
      </c>
      <c r="J13" s="123">
        <f t="shared" si="6"/>
        <v>15.684391080617495</v>
      </c>
      <c r="K13" s="123">
        <f t="shared" si="6"/>
        <v>15.947609147609148</v>
      </c>
      <c r="L13" s="267" t="s">
        <v>666</v>
      </c>
      <c r="M13" s="268"/>
      <c r="N13" s="268"/>
      <c r="O13" s="96"/>
    </row>
    <row r="14" spans="1:15" ht="25.5">
      <c r="A14" s="120" t="s">
        <v>680</v>
      </c>
      <c r="B14" s="123"/>
      <c r="C14" s="123"/>
      <c r="D14" s="123">
        <f aca="true" t="shared" si="7" ref="D14:J14">D13/D12</f>
        <v>1.4545454545454546</v>
      </c>
      <c r="E14" s="123">
        <f t="shared" si="7"/>
        <v>1.4838709677419353</v>
      </c>
      <c r="F14" s="123">
        <f t="shared" si="7"/>
        <v>2.375</v>
      </c>
      <c r="G14" s="123">
        <f>G13/G12</f>
        <v>3.5</v>
      </c>
      <c r="H14" s="123">
        <f t="shared" si="7"/>
        <v>3.6363636363636362</v>
      </c>
      <c r="I14" s="123">
        <f t="shared" si="7"/>
        <v>2.037974683544304</v>
      </c>
      <c r="J14" s="123">
        <f t="shared" si="7"/>
        <v>1.5104895104895104</v>
      </c>
      <c r="K14" s="123">
        <f>K13/K12</f>
        <v>1.641304347826087</v>
      </c>
      <c r="L14" s="190" t="s">
        <v>928</v>
      </c>
      <c r="M14" s="175"/>
      <c r="N14" s="175"/>
      <c r="O14" s="96"/>
    </row>
    <row r="15" spans="1:15" ht="12.75">
      <c r="A15" s="96"/>
      <c r="B15" s="96"/>
      <c r="C15" s="96"/>
      <c r="D15" s="96"/>
      <c r="E15" s="96"/>
      <c r="F15" s="96"/>
      <c r="G15" s="96"/>
      <c r="H15" s="96"/>
      <c r="I15" s="96"/>
      <c r="J15" s="127"/>
      <c r="K15" s="127"/>
      <c r="L15" s="127"/>
      <c r="M15" s="96"/>
      <c r="N15" s="96"/>
      <c r="O15" s="96"/>
    </row>
    <row r="16" spans="1:15" ht="12.75">
      <c r="A16" s="224" t="s">
        <v>399</v>
      </c>
      <c r="B16" s="262"/>
      <c r="C16" s="225"/>
      <c r="D16" s="96"/>
      <c r="E16" s="96"/>
      <c r="F16" s="96"/>
      <c r="G16" s="96"/>
      <c r="H16" s="96"/>
      <c r="I16" s="96"/>
      <c r="J16" s="96"/>
      <c r="K16" s="96"/>
      <c r="L16" s="264" t="s">
        <v>400</v>
      </c>
      <c r="M16" s="264"/>
      <c r="N16" s="264"/>
      <c r="O16" s="264"/>
    </row>
    <row r="17" spans="1:15" ht="12.75">
      <c r="A17" s="128"/>
      <c r="B17" s="96"/>
      <c r="C17" s="96"/>
      <c r="D17" s="96"/>
      <c r="E17" s="96"/>
      <c r="F17" s="96"/>
      <c r="G17" s="96"/>
      <c r="H17" s="96"/>
      <c r="I17" s="96"/>
      <c r="J17" s="96"/>
      <c r="K17" s="96"/>
      <c r="L17" s="96"/>
      <c r="M17" s="96"/>
      <c r="N17" s="96"/>
      <c r="O17" s="96"/>
    </row>
    <row r="18" spans="1:15" ht="25.5">
      <c r="A18" s="261" t="s">
        <v>269</v>
      </c>
      <c r="B18" s="261"/>
      <c r="C18" s="261"/>
      <c r="D18" s="96"/>
      <c r="E18" s="96"/>
      <c r="F18" s="96"/>
      <c r="G18" s="96"/>
      <c r="H18" s="96"/>
      <c r="I18" s="96"/>
      <c r="J18" s="96"/>
      <c r="K18" s="96"/>
      <c r="L18" s="71"/>
      <c r="M18" s="71" t="s">
        <v>40</v>
      </c>
      <c r="N18" s="71" t="s">
        <v>41</v>
      </c>
      <c r="O18" s="71" t="s">
        <v>402</v>
      </c>
    </row>
    <row r="19" spans="1:15" ht="25.5">
      <c r="A19" s="129"/>
      <c r="B19" s="71" t="s">
        <v>268</v>
      </c>
      <c r="C19" s="71" t="s">
        <v>40</v>
      </c>
      <c r="D19" s="96"/>
      <c r="E19" s="96"/>
      <c r="F19" s="96"/>
      <c r="G19" s="96"/>
      <c r="H19" s="96"/>
      <c r="I19" s="96"/>
      <c r="J19" s="96"/>
      <c r="K19" s="96"/>
      <c r="L19" s="71" t="s">
        <v>37</v>
      </c>
      <c r="M19" s="118">
        <v>350</v>
      </c>
      <c r="N19" s="71">
        <v>0.15</v>
      </c>
      <c r="O19" s="118">
        <f>N19*M19</f>
        <v>52.5</v>
      </c>
    </row>
    <row r="20" spans="1:15" ht="12.75">
      <c r="A20" s="71" t="s">
        <v>48</v>
      </c>
      <c r="B20" s="71">
        <v>9</v>
      </c>
      <c r="C20" s="118">
        <f>B20*B28</f>
        <v>198</v>
      </c>
      <c r="D20" s="96"/>
      <c r="E20" s="96"/>
      <c r="F20" s="96"/>
      <c r="G20" s="96"/>
      <c r="H20" s="96"/>
      <c r="I20" s="96"/>
      <c r="J20" s="96"/>
      <c r="K20" s="96"/>
      <c r="L20" s="71" t="s">
        <v>38</v>
      </c>
      <c r="M20" s="118">
        <v>290</v>
      </c>
      <c r="N20" s="71">
        <v>0.65</v>
      </c>
      <c r="O20" s="118">
        <f>N20*M20</f>
        <v>188.5</v>
      </c>
    </row>
    <row r="21" spans="1:15" ht="12.75">
      <c r="A21" s="71" t="s">
        <v>49</v>
      </c>
      <c r="B21" s="71">
        <v>17</v>
      </c>
      <c r="C21" s="118">
        <f>B21*B28</f>
        <v>374</v>
      </c>
      <c r="D21" s="96"/>
      <c r="E21" s="96"/>
      <c r="F21" s="96"/>
      <c r="G21" s="96"/>
      <c r="H21" s="96"/>
      <c r="I21" s="96" t="s">
        <v>4</v>
      </c>
      <c r="J21" s="96"/>
      <c r="K21" s="96"/>
      <c r="L21" s="71" t="s">
        <v>39</v>
      </c>
      <c r="M21" s="118">
        <v>190</v>
      </c>
      <c r="N21" s="71">
        <v>0.2</v>
      </c>
      <c r="O21" s="118">
        <f>N21*M21</f>
        <v>38</v>
      </c>
    </row>
    <row r="22" spans="1:15" ht="12.75">
      <c r="A22" s="71" t="s">
        <v>238</v>
      </c>
      <c r="B22" s="71">
        <v>14</v>
      </c>
      <c r="C22" s="118">
        <f>B22*B28</f>
        <v>308</v>
      </c>
      <c r="D22" s="96"/>
      <c r="E22" s="96"/>
      <c r="F22" s="96"/>
      <c r="G22" s="96"/>
      <c r="H22" s="96"/>
      <c r="I22" s="96"/>
      <c r="J22" s="96"/>
      <c r="K22" s="96"/>
      <c r="L22" s="71" t="s">
        <v>42</v>
      </c>
      <c r="M22" s="118">
        <f>SUM(O19:O21)</f>
        <v>279</v>
      </c>
      <c r="N22" s="71"/>
      <c r="O22" s="71"/>
    </row>
    <row r="23" spans="1:15" ht="12.75">
      <c r="A23" s="73"/>
      <c r="B23" s="73"/>
      <c r="C23" s="122"/>
      <c r="D23" s="96"/>
      <c r="E23" s="96"/>
      <c r="F23" s="96"/>
      <c r="G23" s="96"/>
      <c r="H23" s="96"/>
      <c r="I23" s="96"/>
      <c r="J23" s="96"/>
      <c r="K23" s="96"/>
      <c r="L23" s="71" t="s">
        <v>89</v>
      </c>
      <c r="M23" s="193">
        <f>(M22-B33)/M22</f>
        <v>-0.03942652329749104</v>
      </c>
      <c r="N23" s="71"/>
      <c r="O23" s="71"/>
    </row>
    <row r="24" spans="1:15" ht="12.75">
      <c r="A24" s="263" t="s">
        <v>271</v>
      </c>
      <c r="B24" s="263"/>
      <c r="C24" s="263"/>
      <c r="D24" s="96"/>
      <c r="E24" s="96"/>
      <c r="F24" s="96"/>
      <c r="G24" s="96"/>
      <c r="H24" s="96"/>
      <c r="I24" s="96"/>
      <c r="J24" s="96"/>
      <c r="K24" s="96"/>
      <c r="L24" s="96"/>
      <c r="M24" s="96"/>
      <c r="N24" s="96"/>
      <c r="O24" s="96"/>
    </row>
    <row r="25" spans="1:15" ht="12.75">
      <c r="A25" s="71"/>
      <c r="B25" s="71" t="s">
        <v>270</v>
      </c>
      <c r="C25" s="71" t="s">
        <v>11</v>
      </c>
      <c r="D25" s="96"/>
      <c r="E25" s="96"/>
      <c r="F25" s="96"/>
      <c r="G25" s="96"/>
      <c r="H25" s="96"/>
      <c r="I25" s="96"/>
      <c r="J25" s="96"/>
      <c r="K25" s="96"/>
      <c r="L25" s="96"/>
      <c r="M25" s="96"/>
      <c r="N25" s="96"/>
      <c r="O25" s="96"/>
    </row>
    <row r="26" spans="1:15" ht="25.5">
      <c r="A26" s="71" t="s">
        <v>235</v>
      </c>
      <c r="B26" s="71">
        <v>20</v>
      </c>
      <c r="C26" s="130">
        <f>B26*B22</f>
        <v>280</v>
      </c>
      <c r="D26" s="96"/>
      <c r="E26" s="96"/>
      <c r="F26" s="96"/>
      <c r="G26" s="96"/>
      <c r="H26" s="96"/>
      <c r="I26" s="96"/>
      <c r="J26" s="96"/>
      <c r="K26" s="96"/>
      <c r="L26" s="96" t="s">
        <v>4</v>
      </c>
      <c r="M26" s="96"/>
      <c r="N26" s="96"/>
      <c r="O26" s="96"/>
    </row>
    <row r="27" spans="1:15" ht="12.75">
      <c r="A27" s="71" t="s">
        <v>236</v>
      </c>
      <c r="B27" s="71">
        <v>24</v>
      </c>
      <c r="C27" s="130">
        <f>B27*B22</f>
        <v>336</v>
      </c>
      <c r="D27" s="96"/>
      <c r="E27" s="96"/>
      <c r="F27" s="96"/>
      <c r="G27" s="96"/>
      <c r="H27" s="96"/>
      <c r="I27" s="96"/>
      <c r="J27" s="96"/>
      <c r="K27" s="96"/>
      <c r="L27" s="246" t="s">
        <v>483</v>
      </c>
      <c r="M27" s="246"/>
      <c r="N27" s="96"/>
      <c r="O27" s="96"/>
    </row>
    <row r="28" spans="1:15" ht="12.75">
      <c r="A28" s="71" t="s">
        <v>237</v>
      </c>
      <c r="B28" s="71">
        <v>22</v>
      </c>
      <c r="C28" s="130">
        <f>B28*B22</f>
        <v>308</v>
      </c>
      <c r="D28" s="96"/>
      <c r="E28" s="96"/>
      <c r="F28" s="96"/>
      <c r="G28" s="96"/>
      <c r="H28" s="96"/>
      <c r="I28" s="96"/>
      <c r="J28" s="96"/>
      <c r="K28" s="96"/>
      <c r="L28" s="71" t="s">
        <v>319</v>
      </c>
      <c r="M28" s="130">
        <f>analysis!L18-analysis!H18</f>
        <v>1894</v>
      </c>
      <c r="N28" s="96"/>
      <c r="O28" s="96"/>
    </row>
    <row r="29" spans="1:15" ht="12.75">
      <c r="A29" s="96"/>
      <c r="B29" s="96"/>
      <c r="C29" s="131"/>
      <c r="D29" s="96"/>
      <c r="E29" s="96"/>
      <c r="F29" s="96"/>
      <c r="G29" s="96"/>
      <c r="H29" s="96"/>
      <c r="I29" s="96"/>
      <c r="J29" s="96"/>
      <c r="K29" s="96"/>
      <c r="L29" s="71" t="s">
        <v>320</v>
      </c>
      <c r="M29" s="71">
        <f>SUM(analysis!H26:L26)</f>
        <v>4034</v>
      </c>
      <c r="N29" s="96"/>
      <c r="O29" s="96"/>
    </row>
    <row r="30" spans="1:15" ht="12.75">
      <c r="A30" s="224" t="s">
        <v>401</v>
      </c>
      <c r="B30" s="262"/>
      <c r="C30" s="225"/>
      <c r="D30" s="96"/>
      <c r="E30" s="96"/>
      <c r="F30" s="96"/>
      <c r="G30" s="96"/>
      <c r="H30" s="96"/>
      <c r="I30" s="96"/>
      <c r="J30" s="96"/>
      <c r="K30" s="96"/>
      <c r="L30" s="71" t="s">
        <v>318</v>
      </c>
      <c r="M30" s="71">
        <f>SUM(analysis!H10:L10)</f>
        <v>2801</v>
      </c>
      <c r="N30" s="96"/>
      <c r="O30" s="96"/>
    </row>
    <row r="31" spans="1:15" ht="12.75">
      <c r="A31" s="96" t="s">
        <v>43</v>
      </c>
      <c r="B31" s="131">
        <f>C21</f>
        <v>374</v>
      </c>
      <c r="C31" s="131"/>
      <c r="D31" s="96"/>
      <c r="E31" s="96"/>
      <c r="F31" s="96"/>
      <c r="G31" s="96"/>
      <c r="H31" s="96"/>
      <c r="I31" s="96"/>
      <c r="J31" s="96"/>
      <c r="K31" s="96"/>
      <c r="L31" s="71" t="s">
        <v>321</v>
      </c>
      <c r="M31" s="71">
        <f>M29-M30</f>
        <v>1233</v>
      </c>
      <c r="N31" s="96"/>
      <c r="O31" s="96"/>
    </row>
    <row r="32" spans="1:15" ht="12.75">
      <c r="A32" s="96" t="s">
        <v>44</v>
      </c>
      <c r="B32" s="131">
        <f>C20</f>
        <v>198</v>
      </c>
      <c r="C32" s="131"/>
      <c r="D32" s="96"/>
      <c r="E32" s="96"/>
      <c r="F32" s="96"/>
      <c r="G32" s="96"/>
      <c r="H32" s="96"/>
      <c r="I32" s="96"/>
      <c r="J32" s="96"/>
      <c r="K32" s="96"/>
      <c r="L32" s="71" t="s">
        <v>322</v>
      </c>
      <c r="M32" s="134">
        <f>M28/M29</f>
        <v>0.4695091720376797</v>
      </c>
      <c r="N32" s="96"/>
      <c r="O32" s="96"/>
    </row>
    <row r="33" spans="1:20" ht="12.75">
      <c r="A33" s="96" t="s">
        <v>88</v>
      </c>
      <c r="B33" s="96">
        <v>290</v>
      </c>
      <c r="C33" s="131"/>
      <c r="D33" s="96"/>
      <c r="E33" s="96"/>
      <c r="F33" s="96"/>
      <c r="G33" s="96"/>
      <c r="H33" s="96"/>
      <c r="I33" s="96"/>
      <c r="J33" s="96"/>
      <c r="K33" s="96"/>
      <c r="L33" s="71" t="s">
        <v>323</v>
      </c>
      <c r="M33" s="134">
        <f>M28/M31</f>
        <v>1.5360908353609084</v>
      </c>
      <c r="N33" s="265" t="s">
        <v>422</v>
      </c>
      <c r="O33" s="266"/>
      <c r="P33" s="266"/>
      <c r="Q33" s="266"/>
      <c r="R33" s="96"/>
      <c r="S33" s="96"/>
      <c r="T33" s="96"/>
    </row>
    <row r="34" spans="1:15" ht="12.75">
      <c r="A34" s="96" t="s">
        <v>45</v>
      </c>
      <c r="B34" s="127">
        <f>B31-B33</f>
        <v>84</v>
      </c>
      <c r="C34" s="131"/>
      <c r="D34" s="96"/>
      <c r="E34" s="96"/>
      <c r="F34" s="96"/>
      <c r="G34" s="96"/>
      <c r="H34" s="96"/>
      <c r="I34" s="96"/>
      <c r="J34" s="96"/>
      <c r="K34" s="96"/>
      <c r="N34" s="96"/>
      <c r="O34" s="96"/>
    </row>
    <row r="35" spans="1:15" ht="12.75">
      <c r="A35" s="96" t="s">
        <v>46</v>
      </c>
      <c r="B35" s="127">
        <f>B33-B32</f>
        <v>92</v>
      </c>
      <c r="C35" s="131"/>
      <c r="D35" s="96"/>
      <c r="E35" s="96"/>
      <c r="F35" s="96"/>
      <c r="G35" s="96"/>
      <c r="H35" s="96"/>
      <c r="I35" s="96"/>
      <c r="J35" s="96"/>
      <c r="K35" s="96"/>
      <c r="L35" s="96"/>
      <c r="M35" s="96"/>
      <c r="N35" s="96"/>
      <c r="O35" s="96"/>
    </row>
    <row r="36" spans="1:15" ht="28.5">
      <c r="A36" s="137" t="s">
        <v>609</v>
      </c>
      <c r="B36" s="138">
        <f>B34/B35</f>
        <v>0.9130434782608695</v>
      </c>
      <c r="C36" s="258" t="s">
        <v>927</v>
      </c>
      <c r="D36" s="258"/>
      <c r="E36" s="258"/>
      <c r="F36" s="258"/>
      <c r="G36" s="258"/>
      <c r="H36" s="258"/>
      <c r="I36" s="96"/>
      <c r="L36" s="96"/>
      <c r="M36" s="96"/>
      <c r="N36" s="96"/>
      <c r="O36" s="96"/>
    </row>
    <row r="37" spans="1:15" ht="12.75">
      <c r="A37" s="96" t="s">
        <v>95</v>
      </c>
      <c r="B37" s="131">
        <f>B34*0.7-B35*0.3</f>
        <v>31.2</v>
      </c>
      <c r="C37" s="131"/>
      <c r="D37" s="96"/>
      <c r="E37" s="96"/>
      <c r="F37" s="96"/>
      <c r="G37" s="96"/>
      <c r="H37" s="96"/>
      <c r="I37" s="96"/>
      <c r="J37" s="96"/>
      <c r="K37" s="96"/>
      <c r="L37" s="96"/>
      <c r="M37" s="96"/>
      <c r="N37" s="96"/>
      <c r="O37" s="96"/>
    </row>
    <row r="38" spans="1:15" ht="12.75">
      <c r="A38" s="96" t="s">
        <v>47</v>
      </c>
      <c r="B38" s="96"/>
      <c r="C38" s="131"/>
      <c r="D38" s="96"/>
      <c r="E38" s="96"/>
      <c r="F38" s="96"/>
      <c r="G38" s="96"/>
      <c r="H38" s="96"/>
      <c r="I38" s="96"/>
      <c r="J38" s="96"/>
      <c r="K38" s="96"/>
      <c r="L38" s="96"/>
      <c r="M38" s="96"/>
      <c r="N38" s="96"/>
      <c r="O38" s="96"/>
    </row>
    <row r="39" spans="1:15" ht="12.75">
      <c r="A39" s="96"/>
      <c r="B39" s="96"/>
      <c r="C39" s="131"/>
      <c r="D39" s="96"/>
      <c r="E39" s="96"/>
      <c r="F39" s="96"/>
      <c r="G39" s="96"/>
      <c r="H39" s="96"/>
      <c r="I39" s="96"/>
      <c r="J39" s="96"/>
      <c r="K39" s="96"/>
      <c r="L39" s="96"/>
      <c r="M39" s="96"/>
      <c r="N39" s="96"/>
      <c r="O39" s="96"/>
    </row>
    <row r="40" spans="1:15" ht="27" customHeight="1">
      <c r="A40" s="96" t="s">
        <v>591</v>
      </c>
      <c r="B40" s="96">
        <v>210</v>
      </c>
      <c r="C40" s="258" t="s">
        <v>592</v>
      </c>
      <c r="D40" s="258"/>
      <c r="E40" s="258"/>
      <c r="F40" s="258"/>
      <c r="G40" s="258"/>
      <c r="H40" s="258"/>
      <c r="I40" s="96"/>
      <c r="J40" s="96"/>
      <c r="K40" s="96"/>
      <c r="L40" s="96"/>
      <c r="M40" s="96"/>
      <c r="N40" s="96"/>
      <c r="O40" s="96"/>
    </row>
    <row r="41" spans="1:15" ht="12.75">
      <c r="A41" s="259" t="s">
        <v>272</v>
      </c>
      <c r="B41" s="259"/>
      <c r="C41" s="259"/>
      <c r="D41" s="96"/>
      <c r="E41" s="96"/>
      <c r="F41" s="96"/>
      <c r="G41" s="96"/>
      <c r="H41" s="96"/>
      <c r="I41" s="96"/>
      <c r="J41" s="96"/>
      <c r="K41" s="96"/>
      <c r="L41" s="96"/>
      <c r="M41" s="96"/>
      <c r="N41" s="96"/>
      <c r="O41" s="96"/>
    </row>
    <row r="42" spans="1:15" ht="12.75">
      <c r="A42" s="96" t="s">
        <v>50</v>
      </c>
      <c r="B42" s="96" t="s">
        <v>4</v>
      </c>
      <c r="C42" s="96"/>
      <c r="D42" s="96"/>
      <c r="E42" s="96"/>
      <c r="F42" s="96"/>
      <c r="G42" s="96"/>
      <c r="H42" s="96"/>
      <c r="I42" s="96"/>
      <c r="J42" s="96"/>
      <c r="K42" s="96"/>
      <c r="L42" s="96"/>
      <c r="M42" s="96"/>
      <c r="N42" s="96"/>
      <c r="O42" s="96"/>
    </row>
    <row r="43" spans="1:15" ht="12.75">
      <c r="A43" s="96" t="s">
        <v>51</v>
      </c>
      <c r="B43" s="127">
        <f>15/17</f>
        <v>0.8823529411764706</v>
      </c>
      <c r="C43" s="96"/>
      <c r="D43" s="96"/>
      <c r="E43" s="96"/>
      <c r="F43" s="96"/>
      <c r="G43" s="96"/>
      <c r="H43" s="96"/>
      <c r="I43" s="96"/>
      <c r="J43" s="96"/>
      <c r="K43" s="96"/>
      <c r="L43" s="96"/>
      <c r="M43" s="96"/>
      <c r="N43" s="96"/>
      <c r="O43" s="96"/>
    </row>
    <row r="44" spans="1:15" ht="12.75">
      <c r="A44" s="96"/>
      <c r="B44" s="96"/>
      <c r="C44" s="96"/>
      <c r="D44" s="96"/>
      <c r="E44" s="96"/>
      <c r="F44" s="96"/>
      <c r="G44" s="96"/>
      <c r="H44" s="96"/>
      <c r="I44" s="96"/>
      <c r="J44" s="96"/>
      <c r="K44" s="96"/>
      <c r="L44" s="96"/>
      <c r="M44" s="96"/>
      <c r="N44" s="96"/>
      <c r="O44" s="96"/>
    </row>
    <row r="45" spans="1:15" ht="12.75">
      <c r="A45" s="96" t="s">
        <v>267</v>
      </c>
      <c r="B45" s="133">
        <f>K6/K8</f>
        <v>0.06270532408614486</v>
      </c>
      <c r="C45" s="96"/>
      <c r="D45" s="96"/>
      <c r="E45" s="96"/>
      <c r="F45" s="96"/>
      <c r="G45" s="96"/>
      <c r="H45" s="96"/>
      <c r="I45" s="96"/>
      <c r="J45" s="96"/>
      <c r="K45" s="96"/>
      <c r="L45" s="96"/>
      <c r="M45" s="96"/>
      <c r="N45" s="96"/>
      <c r="O45" s="96"/>
    </row>
    <row r="46" spans="1:15" ht="12.75">
      <c r="A46" s="96" t="s">
        <v>172</v>
      </c>
      <c r="B46" s="132">
        <v>0.18</v>
      </c>
      <c r="C46" s="96"/>
      <c r="D46" s="96"/>
      <c r="E46" s="96"/>
      <c r="F46" s="96"/>
      <c r="G46" s="96"/>
      <c r="H46" s="96"/>
      <c r="I46" s="96"/>
      <c r="J46" s="96"/>
      <c r="K46" s="96"/>
      <c r="L46" s="96"/>
      <c r="M46" s="96"/>
      <c r="N46" s="96"/>
      <c r="O46" s="96"/>
    </row>
    <row r="47" spans="1:15" ht="25.5">
      <c r="A47" s="96" t="s">
        <v>264</v>
      </c>
      <c r="B47" s="132">
        <f>B45+B46</f>
        <v>0.24270532408614487</v>
      </c>
      <c r="C47" s="96"/>
      <c r="D47" s="96"/>
      <c r="E47" s="96"/>
      <c r="F47" s="96"/>
      <c r="G47" s="96"/>
      <c r="H47" s="96"/>
      <c r="I47" s="96"/>
      <c r="J47" s="96"/>
      <c r="K47" s="96"/>
      <c r="L47" s="96"/>
      <c r="M47" s="96"/>
      <c r="N47" s="96"/>
      <c r="O47" s="96"/>
    </row>
    <row r="48" spans="1:15" ht="12.75">
      <c r="A48" s="96" t="s">
        <v>173</v>
      </c>
      <c r="B48" s="127">
        <f>(B45+B46)*100/K13</f>
        <v>1.5218916004254532</v>
      </c>
      <c r="C48" s="96"/>
      <c r="D48" s="96"/>
      <c r="E48" s="96"/>
      <c r="F48" s="96"/>
      <c r="G48" s="96"/>
      <c r="H48" s="96"/>
      <c r="I48" s="96"/>
      <c r="J48" s="96"/>
      <c r="K48" s="96"/>
      <c r="L48" s="96"/>
      <c r="M48" s="96"/>
      <c r="N48" s="96"/>
      <c r="O48" s="96"/>
    </row>
    <row r="49" spans="1:15" ht="12.75">
      <c r="A49" s="96"/>
      <c r="B49" s="96"/>
      <c r="C49" s="96"/>
      <c r="D49" s="96"/>
      <c r="E49" s="96"/>
      <c r="F49" s="96"/>
      <c r="G49" s="96"/>
      <c r="H49" s="96"/>
      <c r="I49" s="96"/>
      <c r="J49" s="96"/>
      <c r="K49" s="96"/>
      <c r="L49" s="96"/>
      <c r="M49" s="96"/>
      <c r="N49" s="96"/>
      <c r="O49" s="96"/>
    </row>
    <row r="50" spans="1:15" ht="12.75">
      <c r="A50" s="96"/>
      <c r="B50" s="96"/>
      <c r="C50" s="96"/>
      <c r="D50" s="96"/>
      <c r="E50" s="96"/>
      <c r="F50" s="96"/>
      <c r="G50" s="96"/>
      <c r="H50" s="96"/>
      <c r="I50" s="96"/>
      <c r="J50" s="96"/>
      <c r="K50" s="96"/>
      <c r="L50" s="96"/>
      <c r="M50" s="96"/>
      <c r="N50" s="96"/>
      <c r="O50" s="96"/>
    </row>
    <row r="51" spans="1:15" ht="12.75">
      <c r="A51" s="259" t="s">
        <v>64</v>
      </c>
      <c r="B51" s="259"/>
      <c r="C51" s="259"/>
      <c r="D51" s="259"/>
      <c r="E51" s="96"/>
      <c r="F51" s="96"/>
      <c r="G51" s="96"/>
      <c r="H51" s="96"/>
      <c r="I51" s="96"/>
      <c r="J51" s="96"/>
      <c r="K51" s="96"/>
      <c r="L51" s="96"/>
      <c r="M51" s="96"/>
      <c r="N51" s="96"/>
      <c r="O51" s="96"/>
    </row>
    <row r="52" spans="1:15" ht="12.75">
      <c r="A52" s="259" t="s">
        <v>65</v>
      </c>
      <c r="B52" s="259"/>
      <c r="C52" s="259"/>
      <c r="D52" s="259"/>
      <c r="E52" s="96"/>
      <c r="F52" s="96"/>
      <c r="G52" s="96"/>
      <c r="H52" s="96"/>
      <c r="I52" s="96"/>
      <c r="J52" s="96"/>
      <c r="K52" s="96"/>
      <c r="L52" s="96"/>
      <c r="M52" s="96"/>
      <c r="N52" s="96"/>
      <c r="O52" s="96"/>
    </row>
    <row r="68" ht="12.75">
      <c r="G68" s="4" t="s">
        <v>4</v>
      </c>
    </row>
    <row r="75" ht="12.75">
      <c r="A75" s="16" t="s">
        <v>4</v>
      </c>
    </row>
  </sheetData>
  <sheetProtection/>
  <mergeCells count="16">
    <mergeCell ref="L16:O16"/>
    <mergeCell ref="L27:M27"/>
    <mergeCell ref="N33:Q33"/>
    <mergeCell ref="C36:H36"/>
    <mergeCell ref="L12:N12"/>
    <mergeCell ref="L13:N13"/>
    <mergeCell ref="C40:H40"/>
    <mergeCell ref="A51:D51"/>
    <mergeCell ref="A52:D52"/>
    <mergeCell ref="A1:M1"/>
    <mergeCell ref="B2:K2"/>
    <mergeCell ref="A18:C18"/>
    <mergeCell ref="A16:C16"/>
    <mergeCell ref="A24:C24"/>
    <mergeCell ref="A41:C41"/>
    <mergeCell ref="A30:C30"/>
  </mergeCells>
  <printOptions gridLines="1"/>
  <pageMargins left="0.75" right="0.75" top="1" bottom="1" header="0.512" footer="0.512"/>
  <pageSetup horizontalDpi="600" verticalDpi="600" orientation="landscape" paperSize="9" r:id="rId3"/>
  <legacyDrawing r:id="rId2"/>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B13" sqref="B13"/>
    </sheetView>
  </sheetViews>
  <sheetFormatPr defaultColWidth="9.125" defaultRowHeight="13.5"/>
  <cols>
    <col min="1" max="1" width="35.75390625" style="3" customWidth="1"/>
    <col min="2" max="2" width="10.125" style="3" bestFit="1" customWidth="1"/>
    <col min="3" max="16384" width="9.125" style="3" customWidth="1"/>
  </cols>
  <sheetData>
    <row r="1" ht="14.25">
      <c r="A1" s="20" t="s">
        <v>189</v>
      </c>
    </row>
    <row r="2" spans="1:2" ht="14.25">
      <c r="A2" s="17" t="s">
        <v>190</v>
      </c>
      <c r="B2" s="17">
        <v>0</v>
      </c>
    </row>
    <row r="3" spans="1:2" ht="14.25">
      <c r="A3" s="17" t="s">
        <v>191</v>
      </c>
      <c r="B3" s="17">
        <v>3000</v>
      </c>
    </row>
    <row r="4" spans="1:2" ht="14.25">
      <c r="A4" s="17" t="s">
        <v>294</v>
      </c>
      <c r="B4" s="17">
        <v>7500</v>
      </c>
    </row>
    <row r="5" spans="1:2" ht="38.25">
      <c r="A5" s="17" t="s">
        <v>295</v>
      </c>
      <c r="B5" s="149">
        <f>10500/127</f>
        <v>82.67716535433071</v>
      </c>
    </row>
    <row r="6" spans="1:2" ht="14.25">
      <c r="A6" s="17" t="s">
        <v>293</v>
      </c>
      <c r="B6" s="149">
        <f>dcf!M14/0.09</f>
        <v>295.1093613298338</v>
      </c>
    </row>
    <row r="7" spans="1:2" ht="14.25">
      <c r="A7" s="17" t="s">
        <v>215</v>
      </c>
      <c r="B7" s="17"/>
    </row>
    <row r="8" spans="1:9" ht="51">
      <c r="A8" s="4" t="s">
        <v>421</v>
      </c>
      <c r="B8" s="17" t="s">
        <v>935</v>
      </c>
      <c r="C8" s="269" t="s">
        <v>423</v>
      </c>
      <c r="D8" s="269"/>
      <c r="E8" s="269"/>
      <c r="F8" s="269"/>
      <c r="G8" s="269"/>
      <c r="H8" s="269"/>
      <c r="I8" s="269"/>
    </row>
    <row r="9" ht="14.25">
      <c r="A9" s="4"/>
    </row>
    <row r="10" spans="1:2" ht="14.25">
      <c r="A10" s="4" t="s">
        <v>296</v>
      </c>
      <c r="B10" s="4" t="s">
        <v>297</v>
      </c>
    </row>
    <row r="11" spans="1:2" ht="14.25">
      <c r="A11" s="4" t="s">
        <v>299</v>
      </c>
      <c r="B11" s="4" t="s">
        <v>298</v>
      </c>
    </row>
    <row r="12" ht="14.25">
      <c r="A12" s="4" t="s">
        <v>300</v>
      </c>
    </row>
    <row r="14" ht="14.25">
      <c r="A14" s="20" t="s">
        <v>570</v>
      </c>
    </row>
    <row r="15" spans="1:3" ht="14.25">
      <c r="A15" s="4" t="s">
        <v>571</v>
      </c>
      <c r="B15" s="4">
        <f>SUM('Biz model '!C13:L13)/10</f>
        <v>14919</v>
      </c>
      <c r="C15" s="4"/>
    </row>
    <row r="16" spans="1:3" ht="14.25">
      <c r="A16" s="4" t="s">
        <v>572</v>
      </c>
      <c r="B16" s="4">
        <f>SUM('Biz model '!C48:L48)/10</f>
        <v>2059.7</v>
      </c>
      <c r="C16" s="4"/>
    </row>
    <row r="17" spans="1:3" ht="14.25">
      <c r="A17" s="4" t="s">
        <v>574</v>
      </c>
      <c r="B17" s="158">
        <f>B16/B15</f>
        <v>0.13805885112943225</v>
      </c>
      <c r="C17" s="4" t="s">
        <v>4</v>
      </c>
    </row>
    <row r="18" spans="1:3" ht="14.25">
      <c r="A18" s="4" t="s">
        <v>575</v>
      </c>
      <c r="B18" s="4">
        <v>0.14</v>
      </c>
      <c r="C18" s="4" t="s">
        <v>601</v>
      </c>
    </row>
    <row r="19" spans="1:3" ht="14.25">
      <c r="A19" s="4" t="s">
        <v>580</v>
      </c>
      <c r="B19" s="159">
        <f>analysis!O3</f>
        <v>42000</v>
      </c>
      <c r="C19" s="4"/>
    </row>
    <row r="20" spans="1:3" ht="14.25">
      <c r="A20" s="4" t="s">
        <v>576</v>
      </c>
      <c r="B20" s="160">
        <f>SUM('other valuations'!B12:K12)/8</f>
        <v>8.964653866823491</v>
      </c>
      <c r="C20" s="4"/>
    </row>
    <row r="21" spans="1:3" ht="14.25">
      <c r="A21" s="4" t="s">
        <v>577</v>
      </c>
      <c r="B21" s="160">
        <f>SUM('other valuations'!B13:K13)/8</f>
        <v>17.195636201785295</v>
      </c>
      <c r="C21" s="4"/>
    </row>
    <row r="22" spans="1:3" ht="14.25">
      <c r="A22" s="4" t="s">
        <v>579</v>
      </c>
      <c r="B22" s="159">
        <f>B19*B18*B20*0.67/127</f>
        <v>278.0877982184082</v>
      </c>
      <c r="C22" s="4"/>
    </row>
    <row r="23" spans="1:3" ht="14.25">
      <c r="A23" s="4" t="s">
        <v>578</v>
      </c>
      <c r="B23" s="159">
        <f>B19*B18*B21*0.67/127</f>
        <v>533.416758901995</v>
      </c>
      <c r="C23" s="4"/>
    </row>
  </sheetData>
  <sheetProtection/>
  <mergeCells count="1">
    <mergeCell ref="C8:I8"/>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4"/>
  <sheetViews>
    <sheetView zoomScale="90" zoomScaleNormal="90" zoomScalePageLayoutView="0" workbookViewId="0" topLeftCell="A1">
      <selection activeCell="A1" sqref="A1"/>
    </sheetView>
  </sheetViews>
  <sheetFormatPr defaultColWidth="9.00390625" defaultRowHeight="13.5"/>
  <cols>
    <col min="1" max="16384" width="9.00390625" style="198" customWidth="1"/>
  </cols>
  <sheetData>
    <row r="1" ht="14.25">
      <c r="A1" s="198" t="s">
        <v>961</v>
      </c>
    </row>
    <row r="2" ht="14.25">
      <c r="A2" s="198" t="s">
        <v>962</v>
      </c>
    </row>
    <row r="3" ht="14.25">
      <c r="A3" s="198" t="s">
        <v>963</v>
      </c>
    </row>
    <row r="4" ht="14.25">
      <c r="A4" s="198" t="s">
        <v>964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1"/>
  <sheetViews>
    <sheetView zoomScalePageLayoutView="0" workbookViewId="0" topLeftCell="A1">
      <selection activeCell="L6" sqref="L6"/>
    </sheetView>
  </sheetViews>
  <sheetFormatPr defaultColWidth="9.00390625" defaultRowHeight="13.5"/>
  <cols>
    <col min="1" max="1" width="29.25390625" style="0" customWidth="1"/>
    <col min="3" max="3" width="6.125" style="0" bestFit="1" customWidth="1"/>
    <col min="4" max="4" width="5.75390625" style="0" bestFit="1" customWidth="1"/>
    <col min="5" max="6" width="6.125" style="0" bestFit="1" customWidth="1"/>
    <col min="7" max="7" width="6.875" style="0" bestFit="1" customWidth="1"/>
    <col min="8" max="11" width="6.125" style="0" bestFit="1" customWidth="1"/>
    <col min="12" max="12" width="6.125" style="0" customWidth="1"/>
    <col min="13" max="13" width="25.875" style="0" customWidth="1"/>
  </cols>
  <sheetData>
    <row r="1" spans="1:13" ht="14.25">
      <c r="A1" s="157" t="s">
        <v>511</v>
      </c>
      <c r="B1" s="4"/>
      <c r="C1" s="4"/>
      <c r="D1" s="4"/>
      <c r="E1" s="4"/>
      <c r="F1" s="4"/>
      <c r="G1" s="4"/>
      <c r="H1" s="4"/>
      <c r="I1" s="4"/>
      <c r="J1" s="4"/>
      <c r="K1" s="4"/>
      <c r="L1" s="4"/>
      <c r="M1" s="4"/>
    </row>
    <row r="2" spans="1:13" ht="14.25">
      <c r="A2" s="1"/>
      <c r="B2" s="204" t="s">
        <v>230</v>
      </c>
      <c r="C2" s="204"/>
      <c r="D2" s="204"/>
      <c r="E2" s="204"/>
      <c r="F2" s="204"/>
      <c r="G2" s="204"/>
      <c r="H2" s="204"/>
      <c r="I2" s="204"/>
      <c r="J2" s="204"/>
      <c r="K2" s="204"/>
      <c r="L2" s="200"/>
      <c r="M2" s="1"/>
    </row>
    <row r="3" spans="1:13" ht="14.25">
      <c r="A3" s="1" t="s">
        <v>24</v>
      </c>
      <c r="B3" s="1">
        <v>2003</v>
      </c>
      <c r="C3" s="1">
        <f aca="true" t="shared" si="0" ref="C3:K3">B3+1</f>
        <v>2004</v>
      </c>
      <c r="D3" s="1">
        <f t="shared" si="0"/>
        <v>2005</v>
      </c>
      <c r="E3" s="1">
        <f t="shared" si="0"/>
        <v>2006</v>
      </c>
      <c r="F3" s="1">
        <f t="shared" si="0"/>
        <v>2007</v>
      </c>
      <c r="G3" s="1">
        <f t="shared" si="0"/>
        <v>2008</v>
      </c>
      <c r="H3" s="1">
        <f t="shared" si="0"/>
        <v>2009</v>
      </c>
      <c r="I3" s="1">
        <f t="shared" si="0"/>
        <v>2010</v>
      </c>
      <c r="J3" s="1">
        <f t="shared" si="0"/>
        <v>2011</v>
      </c>
      <c r="K3" s="1">
        <f t="shared" si="0"/>
        <v>2012</v>
      </c>
      <c r="L3" s="1">
        <v>2013</v>
      </c>
      <c r="M3" s="1" t="s">
        <v>266</v>
      </c>
    </row>
    <row r="4" spans="1:13" ht="14.25">
      <c r="A4" s="1" t="s">
        <v>605</v>
      </c>
      <c r="B4" s="1"/>
      <c r="C4" s="1"/>
      <c r="D4" s="1"/>
      <c r="E4" s="1"/>
      <c r="F4" s="1">
        <f>119842+61500</f>
        <v>181342</v>
      </c>
      <c r="G4" s="1">
        <f>173400+67000</f>
        <v>240400</v>
      </c>
      <c r="H4" s="1">
        <f>197550+78400</f>
        <v>275950</v>
      </c>
      <c r="I4" s="1">
        <f>203530+88450</f>
        <v>291980</v>
      </c>
      <c r="J4" s="1">
        <f>102050+228107</f>
        <v>330157</v>
      </c>
      <c r="K4" s="1">
        <v>350000</v>
      </c>
      <c r="L4" s="1"/>
      <c r="M4" s="1"/>
    </row>
    <row r="5" spans="1:13" ht="14.25">
      <c r="A5" s="1" t="s">
        <v>745</v>
      </c>
      <c r="B5" s="1">
        <v>91913</v>
      </c>
      <c r="C5" s="1">
        <v>100053</v>
      </c>
      <c r="D5" s="1">
        <v>95439</v>
      </c>
      <c r="E5" s="1">
        <v>118115</v>
      </c>
      <c r="F5" s="1">
        <v>130547</v>
      </c>
      <c r="G5" s="1">
        <v>139239</v>
      </c>
      <c r="H5" s="1">
        <v>172746</v>
      </c>
      <c r="I5" s="1">
        <v>191704</v>
      </c>
      <c r="J5" s="1">
        <v>224673</v>
      </c>
      <c r="K5" s="1">
        <v>245700</v>
      </c>
      <c r="L5" s="1">
        <v>281452</v>
      </c>
      <c r="M5" s="1" t="s">
        <v>747</v>
      </c>
    </row>
    <row r="6" spans="1:13" ht="14.25">
      <c r="A6" s="1" t="s">
        <v>746</v>
      </c>
      <c r="B6" s="1"/>
      <c r="C6" s="7">
        <f>(C5-B5)/B5</f>
        <v>0.08856200972658927</v>
      </c>
      <c r="D6" s="7">
        <f aca="true" t="shared" si="1" ref="D6:L6">(D5-C5)/C5</f>
        <v>-0.046115558753860454</v>
      </c>
      <c r="E6" s="7">
        <f t="shared" si="1"/>
        <v>0.23759678957239702</v>
      </c>
      <c r="F6" s="7">
        <f t="shared" si="1"/>
        <v>0.10525335478135715</v>
      </c>
      <c r="G6" s="7">
        <f t="shared" si="1"/>
        <v>0.06658138448221713</v>
      </c>
      <c r="H6" s="7">
        <f t="shared" si="1"/>
        <v>0.24064378514640294</v>
      </c>
      <c r="I6" s="7">
        <f t="shared" si="1"/>
        <v>0.10974494344297407</v>
      </c>
      <c r="J6" s="7">
        <f t="shared" si="1"/>
        <v>0.17197867545799775</v>
      </c>
      <c r="K6" s="7">
        <f t="shared" si="1"/>
        <v>0.09358934985512278</v>
      </c>
      <c r="L6" s="7">
        <f t="shared" si="1"/>
        <v>0.1455107855107855</v>
      </c>
      <c r="M6" s="1"/>
    </row>
    <row r="7" spans="1:13" ht="14.25">
      <c r="A7" s="1" t="s">
        <v>748</v>
      </c>
      <c r="B7" s="182">
        <f>'Biz model '!C13/'Biz stats'!B5</f>
        <v>0.07584346066388868</v>
      </c>
      <c r="C7" s="182">
        <f>'Biz model '!D13/'Biz stats'!C5</f>
        <v>0.07981769662079098</v>
      </c>
      <c r="D7" s="182">
        <f>'Biz model '!E13/'Biz stats'!D5</f>
        <v>0.08634834815955741</v>
      </c>
      <c r="E7" s="182">
        <f>'Biz model '!F13/'Biz stats'!E5</f>
        <v>0.08353723066502984</v>
      </c>
      <c r="F7" s="182">
        <f>'Biz model '!G13/'Biz stats'!F5</f>
        <v>0.0894926731368779</v>
      </c>
      <c r="G7" s="182">
        <f>'Biz model '!H13/'Biz stats'!G5</f>
        <v>0.09473638851183935</v>
      </c>
      <c r="H7" s="182">
        <f>'Biz model '!I13/'Biz stats'!H5</f>
        <v>0.09614694406816945</v>
      </c>
      <c r="I7" s="182">
        <f>'Biz model '!J13/'Biz stats'!I5</f>
        <v>0.10546989108208488</v>
      </c>
      <c r="J7" s="182">
        <f>'Biz model '!K13/'Biz stats'!J5</f>
        <v>0.11011113930022744</v>
      </c>
      <c r="K7" s="182">
        <f>'Biz model '!L13/'Biz stats'!K5</f>
        <v>0.12081400081400082</v>
      </c>
      <c r="L7" s="182">
        <f>'Biz model '!M13/'Biz stats'!L5</f>
        <v>0.12104728337336385</v>
      </c>
      <c r="M7" s="1" t="s">
        <v>4</v>
      </c>
    </row>
    <row r="8" spans="1:13" ht="14.25">
      <c r="A8" s="8" t="s">
        <v>749</v>
      </c>
      <c r="B8" s="1"/>
      <c r="C8" s="7">
        <f>(C7-B7)/B7</f>
        <v>0.052400509181862155</v>
      </c>
      <c r="D8" s="7">
        <f aca="true" t="shared" si="2" ref="D8:L8">(D7-C7)/C7</f>
        <v>0.08181959409068343</v>
      </c>
      <c r="E8" s="7">
        <f>(E7-D7)/D7</f>
        <v>-0.03255554454073742</v>
      </c>
      <c r="F8" s="7">
        <f t="shared" si="2"/>
        <v>0.07129087742599922</v>
      </c>
      <c r="G8" s="7">
        <f t="shared" si="2"/>
        <v>0.058593795348377296</v>
      </c>
      <c r="H8" s="7">
        <f t="shared" si="2"/>
        <v>0.014889268827825557</v>
      </c>
      <c r="I8" s="7">
        <f t="shared" si="2"/>
        <v>0.09696560930012846</v>
      </c>
      <c r="J8" s="7">
        <f t="shared" si="2"/>
        <v>0.04400543292995704</v>
      </c>
      <c r="K8" s="7">
        <f t="shared" si="2"/>
        <v>0.0972005337678971</v>
      </c>
      <c r="L8" s="7">
        <f t="shared" si="2"/>
        <v>0.0019309232190909693</v>
      </c>
      <c r="M8" s="1" t="s">
        <v>750</v>
      </c>
    </row>
    <row r="9" spans="1:13" ht="14.25">
      <c r="A9" s="1" t="s">
        <v>751</v>
      </c>
      <c r="B9" s="1"/>
      <c r="C9" s="1"/>
      <c r="D9" s="1"/>
      <c r="E9" s="1"/>
      <c r="F9" s="10">
        <f aca="true" t="shared" si="3" ref="F9:K9">F5/F4</f>
        <v>0.7198939021296776</v>
      </c>
      <c r="G9" s="10">
        <f t="shared" si="3"/>
        <v>0.5791971713810317</v>
      </c>
      <c r="H9" s="10">
        <f t="shared" si="3"/>
        <v>0.6260047109983693</v>
      </c>
      <c r="I9" s="10">
        <f t="shared" si="3"/>
        <v>0.6565655181861771</v>
      </c>
      <c r="J9" s="10">
        <f t="shared" si="3"/>
        <v>0.6805035180232435</v>
      </c>
      <c r="K9" s="10">
        <f t="shared" si="3"/>
        <v>0.702</v>
      </c>
      <c r="L9" s="10"/>
      <c r="M9" s="1"/>
    </row>
    <row r="10" spans="1:13" ht="14.25">
      <c r="A10" s="1"/>
      <c r="B10" s="1"/>
      <c r="C10" s="1"/>
      <c r="D10" s="1"/>
      <c r="E10" s="1"/>
      <c r="F10" s="1"/>
      <c r="G10" s="1"/>
      <c r="H10" s="1"/>
      <c r="I10" s="1"/>
      <c r="J10" s="1"/>
      <c r="K10" s="1"/>
      <c r="L10" s="1"/>
      <c r="M10" s="1"/>
    </row>
    <row r="11" spans="1:13" ht="14.25">
      <c r="A11" s="1"/>
      <c r="B11" s="1"/>
      <c r="C11" s="1"/>
      <c r="D11" s="1"/>
      <c r="E11" s="1"/>
      <c r="F11" s="1"/>
      <c r="G11" s="1"/>
      <c r="H11" s="1"/>
      <c r="I11" s="1"/>
      <c r="J11" s="1"/>
      <c r="K11" s="1"/>
      <c r="L11" s="1"/>
      <c r="M11" s="1"/>
    </row>
    <row r="13" spans="1:9" ht="14.25">
      <c r="A13" s="2"/>
      <c r="D13" s="183"/>
      <c r="E13" s="183"/>
      <c r="F13" s="183"/>
      <c r="G13" s="183"/>
      <c r="H13" s="183"/>
      <c r="I13" s="183"/>
    </row>
    <row r="14" spans="1:9" ht="14.25">
      <c r="A14" s="2"/>
      <c r="D14" s="183"/>
      <c r="E14" s="183"/>
      <c r="F14" s="183"/>
      <c r="G14" s="183"/>
      <c r="H14" s="183"/>
      <c r="I14" s="183"/>
    </row>
    <row r="15" ht="14.25">
      <c r="A15" s="2"/>
    </row>
    <row r="16" ht="14.25">
      <c r="A16" s="136"/>
    </row>
    <row r="17" ht="14.25">
      <c r="A17" s="4"/>
    </row>
    <row r="18" ht="14.25">
      <c r="A18" s="4"/>
    </row>
    <row r="19" ht="14.25">
      <c r="A19" s="4"/>
    </row>
    <row r="20" ht="14.25">
      <c r="A20" s="4"/>
    </row>
    <row r="21" ht="14.25">
      <c r="A21" s="136"/>
    </row>
  </sheetData>
  <sheetProtection/>
  <mergeCells count="1">
    <mergeCell ref="B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70"/>
  <sheetViews>
    <sheetView zoomScalePageLayoutView="0" workbookViewId="0" topLeftCell="A45">
      <selection activeCell="B69" sqref="B69"/>
    </sheetView>
  </sheetViews>
  <sheetFormatPr defaultColWidth="8.875" defaultRowHeight="13.5"/>
  <cols>
    <col min="1" max="1" width="88.75390625" style="4" customWidth="1"/>
    <col min="2" max="2" width="73.375" style="4" customWidth="1"/>
    <col min="3" max="16384" width="8.875" style="4" customWidth="1"/>
  </cols>
  <sheetData>
    <row r="1" ht="12.75">
      <c r="A1" s="4" t="s">
        <v>4</v>
      </c>
    </row>
    <row r="2" ht="12.75">
      <c r="A2" s="96" t="s">
        <v>611</v>
      </c>
    </row>
    <row r="3" ht="12.75">
      <c r="A3" s="96"/>
    </row>
    <row r="4" ht="13.5" thickBot="1">
      <c r="A4" s="96"/>
    </row>
    <row r="5" spans="1:2" ht="12.75">
      <c r="A5" s="97" t="s">
        <v>732</v>
      </c>
      <c r="B5" s="105"/>
    </row>
    <row r="6" spans="1:2" ht="63.75">
      <c r="A6" s="99" t="s">
        <v>734</v>
      </c>
      <c r="B6" s="99" t="s">
        <v>752</v>
      </c>
    </row>
    <row r="7" spans="1:2" ht="25.5">
      <c r="A7" s="4" t="s">
        <v>733</v>
      </c>
      <c r="B7" s="99" t="s">
        <v>774</v>
      </c>
    </row>
    <row r="8" spans="1:2" ht="25.5">
      <c r="A8" s="99" t="s">
        <v>735</v>
      </c>
      <c r="B8" s="99" t="s">
        <v>145</v>
      </c>
    </row>
    <row r="9" spans="1:2" ht="25.5">
      <c r="A9" s="99" t="s">
        <v>736</v>
      </c>
      <c r="B9" s="99" t="s">
        <v>145</v>
      </c>
    </row>
    <row r="10" spans="1:2" ht="25.5">
      <c r="A10" s="99" t="s">
        <v>737</v>
      </c>
      <c r="B10" s="99" t="s">
        <v>145</v>
      </c>
    </row>
    <row r="11" spans="1:2" ht="12.75">
      <c r="A11" s="99"/>
      <c r="B11" s="99"/>
    </row>
    <row r="12" spans="1:2" ht="13.5" thickBot="1">
      <c r="A12" s="100"/>
      <c r="B12" s="100"/>
    </row>
    <row r="13" spans="1:2" ht="12.75">
      <c r="A13" s="97" t="s">
        <v>339</v>
      </c>
      <c r="B13" s="101"/>
    </row>
    <row r="14" spans="1:2" ht="25.5">
      <c r="A14" s="107" t="s">
        <v>610</v>
      </c>
      <c r="B14" s="102" t="s">
        <v>753</v>
      </c>
    </row>
    <row r="15" spans="1:2" ht="12.75">
      <c r="A15" s="103" t="s">
        <v>428</v>
      </c>
      <c r="B15" s="102" t="s">
        <v>754</v>
      </c>
    </row>
    <row r="16" spans="1:2" ht="12.75">
      <c r="A16" s="103" t="s">
        <v>725</v>
      </c>
      <c r="B16" s="102" t="s">
        <v>343</v>
      </c>
    </row>
    <row r="17" spans="1:2" ht="12.75">
      <c r="A17" s="99" t="s">
        <v>726</v>
      </c>
      <c r="B17" s="102" t="s">
        <v>343</v>
      </c>
    </row>
    <row r="18" spans="1:2" ht="38.25">
      <c r="A18" s="99" t="s">
        <v>349</v>
      </c>
      <c r="B18" s="102" t="s">
        <v>775</v>
      </c>
    </row>
    <row r="19" spans="1:2" ht="25.5">
      <c r="A19" s="99" t="s">
        <v>709</v>
      </c>
      <c r="B19" s="102" t="s">
        <v>755</v>
      </c>
    </row>
    <row r="20" spans="1:2" ht="12.75">
      <c r="A20" s="99" t="s">
        <v>355</v>
      </c>
      <c r="B20" s="102" t="s">
        <v>761</v>
      </c>
    </row>
    <row r="21" spans="1:2" ht="12.75">
      <c r="A21" s="99" t="s">
        <v>430</v>
      </c>
      <c r="B21" s="85" t="s">
        <v>776</v>
      </c>
    </row>
    <row r="22" spans="1:2" ht="12.75">
      <c r="A22" s="99" t="s">
        <v>654</v>
      </c>
      <c r="B22" s="85" t="s">
        <v>777</v>
      </c>
    </row>
    <row r="23" spans="1:2" ht="12.75">
      <c r="A23" s="99" t="s">
        <v>655</v>
      </c>
      <c r="B23" s="85" t="s">
        <v>145</v>
      </c>
    </row>
    <row r="24" spans="1:2" ht="12.75">
      <c r="A24" s="103" t="s">
        <v>356</v>
      </c>
      <c r="B24" s="102" t="s">
        <v>778</v>
      </c>
    </row>
    <row r="25" spans="1:2" ht="12.75">
      <c r="A25" s="99" t="s">
        <v>403</v>
      </c>
      <c r="B25" s="4" t="s">
        <v>756</v>
      </c>
    </row>
    <row r="26" spans="1:2" ht="38.25">
      <c r="A26" s="103" t="s">
        <v>706</v>
      </c>
      <c r="B26" s="102" t="s">
        <v>757</v>
      </c>
    </row>
    <row r="27" spans="1:2" ht="12.75">
      <c r="A27" s="99" t="s">
        <v>4</v>
      </c>
      <c r="B27" s="102"/>
    </row>
    <row r="28" spans="1:2" ht="12.75">
      <c r="A28" s="103"/>
      <c r="B28" s="102"/>
    </row>
    <row r="29" spans="1:2" ht="13.5" thickBot="1">
      <c r="A29" s="104"/>
      <c r="B29" s="93"/>
    </row>
    <row r="30" spans="1:2" ht="12.75">
      <c r="A30" s="97" t="s">
        <v>652</v>
      </c>
      <c r="B30" s="139"/>
    </row>
    <row r="31" spans="1:2" ht="12.75">
      <c r="A31" s="99" t="s">
        <v>707</v>
      </c>
      <c r="B31" s="85" t="s">
        <v>758</v>
      </c>
    </row>
    <row r="32" spans="1:2" ht="25.5">
      <c r="A32" s="178" t="s">
        <v>427</v>
      </c>
      <c r="B32" s="185" t="s">
        <v>759</v>
      </c>
    </row>
    <row r="33" spans="1:2" ht="38.25">
      <c r="A33" s="99" t="s">
        <v>653</v>
      </c>
      <c r="B33" s="186" t="s">
        <v>760</v>
      </c>
    </row>
    <row r="34" spans="1:2" ht="25.5">
      <c r="A34" s="99" t="s">
        <v>705</v>
      </c>
      <c r="B34" s="189" t="s">
        <v>779</v>
      </c>
    </row>
    <row r="35" spans="1:2" ht="12.75">
      <c r="A35" s="99"/>
      <c r="B35" s="85"/>
    </row>
    <row r="36" spans="1:2" ht="13.5" thickBot="1">
      <c r="A36" s="100"/>
      <c r="B36" s="140"/>
    </row>
    <row r="37" spans="1:2" ht="12.75">
      <c r="A37" s="97" t="s">
        <v>723</v>
      </c>
      <c r="B37" s="98"/>
    </row>
    <row r="38" spans="1:2" ht="12.75">
      <c r="A38" s="99" t="s">
        <v>340</v>
      </c>
      <c r="B38" s="99" t="s">
        <v>343</v>
      </c>
    </row>
    <row r="39" spans="1:2" ht="12.75">
      <c r="A39" s="99" t="s">
        <v>341</v>
      </c>
      <c r="B39" s="99" t="s">
        <v>761</v>
      </c>
    </row>
    <row r="40" spans="1:2" ht="12.75">
      <c r="A40" s="99" t="s">
        <v>404</v>
      </c>
      <c r="B40" s="99" t="s">
        <v>762</v>
      </c>
    </row>
    <row r="41" spans="1:2" ht="12.75">
      <c r="A41" s="99" t="s">
        <v>727</v>
      </c>
      <c r="B41" s="99" t="s">
        <v>343</v>
      </c>
    </row>
    <row r="42" spans="1:2" ht="12.75">
      <c r="A42" s="99" t="s">
        <v>406</v>
      </c>
      <c r="B42" s="99" t="s">
        <v>343</v>
      </c>
    </row>
    <row r="43" spans="1:2" ht="12.75">
      <c r="A43" s="99" t="s">
        <v>596</v>
      </c>
      <c r="B43" s="4" t="s">
        <v>343</v>
      </c>
    </row>
    <row r="44" spans="1:2" ht="25.5">
      <c r="A44" s="99" t="s">
        <v>597</v>
      </c>
      <c r="B44" s="99" t="s">
        <v>763</v>
      </c>
    </row>
    <row r="45" spans="1:2" ht="12.75">
      <c r="A45" s="99" t="s">
        <v>598</v>
      </c>
      <c r="B45" s="99" t="s">
        <v>343</v>
      </c>
    </row>
    <row r="46" spans="1:2" ht="12.75">
      <c r="A46" s="99"/>
      <c r="B46" s="99"/>
    </row>
    <row r="47" spans="1:2" ht="13.5" thickBot="1">
      <c r="A47" s="99"/>
      <c r="B47" s="99"/>
    </row>
    <row r="48" spans="1:2" ht="12.75">
      <c r="A48" s="97" t="s">
        <v>711</v>
      </c>
      <c r="B48" s="105"/>
    </row>
    <row r="49" spans="1:2" ht="12.75">
      <c r="A49" s="99" t="s">
        <v>715</v>
      </c>
      <c r="B49" s="106" t="s">
        <v>343</v>
      </c>
    </row>
    <row r="50" spans="1:2" ht="12.75">
      <c r="A50" s="99" t="s">
        <v>716</v>
      </c>
      <c r="B50" s="106" t="s">
        <v>343</v>
      </c>
    </row>
    <row r="51" spans="1:2" ht="12.75">
      <c r="A51" s="99" t="s">
        <v>717</v>
      </c>
      <c r="B51" s="106" t="s">
        <v>343</v>
      </c>
    </row>
    <row r="52" spans="1:2" ht="12.75">
      <c r="A52" s="99" t="s">
        <v>718</v>
      </c>
      <c r="B52" s="106" t="s">
        <v>343</v>
      </c>
    </row>
    <row r="53" spans="1:2" ht="12.75">
      <c r="A53" s="99" t="s">
        <v>719</v>
      </c>
      <c r="B53" s="106" t="s">
        <v>764</v>
      </c>
    </row>
    <row r="54" spans="1:2" ht="12.75">
      <c r="A54" s="99" t="s">
        <v>720</v>
      </c>
      <c r="B54" s="99" t="s">
        <v>343</v>
      </c>
    </row>
    <row r="55" spans="1:2" ht="12.75">
      <c r="A55" s="99" t="s">
        <v>721</v>
      </c>
      <c r="B55" s="99" t="s">
        <v>343</v>
      </c>
    </row>
    <row r="56" spans="1:2" ht="12.75">
      <c r="A56" s="99" t="s">
        <v>722</v>
      </c>
      <c r="B56" s="99" t="s">
        <v>765</v>
      </c>
    </row>
    <row r="57" spans="1:2" ht="13.5" thickBot="1">
      <c r="A57" s="99"/>
      <c r="B57" s="99"/>
    </row>
    <row r="58" spans="1:2" ht="12.75">
      <c r="A58" s="97" t="s">
        <v>347</v>
      </c>
      <c r="B58" s="105"/>
    </row>
    <row r="59" ht="12.75">
      <c r="B59" s="106"/>
    </row>
    <row r="60" spans="1:2" ht="25.5">
      <c r="A60" s="99" t="s">
        <v>348</v>
      </c>
      <c r="B60" s="106" t="s">
        <v>343</v>
      </c>
    </row>
    <row r="61" spans="1:2" ht="25.5">
      <c r="A61" s="99" t="s">
        <v>682</v>
      </c>
      <c r="B61" s="106" t="s">
        <v>343</v>
      </c>
    </row>
    <row r="62" spans="1:2" ht="25.5">
      <c r="A62" s="178" t="s">
        <v>687</v>
      </c>
      <c r="B62" s="106" t="s">
        <v>343</v>
      </c>
    </row>
    <row r="63" spans="1:2" ht="12.75">
      <c r="A63" s="99" t="s">
        <v>688</v>
      </c>
      <c r="B63" s="106" t="s">
        <v>343</v>
      </c>
    </row>
    <row r="64" spans="1:2" ht="25.5">
      <c r="A64" s="99" t="s">
        <v>346</v>
      </c>
      <c r="B64" s="106" t="s">
        <v>343</v>
      </c>
    </row>
    <row r="65" spans="1:2" ht="12.75">
      <c r="A65" s="99" t="s">
        <v>474</v>
      </c>
      <c r="B65" s="106" t="s">
        <v>343</v>
      </c>
    </row>
    <row r="66" spans="1:2" ht="12.75">
      <c r="A66" s="99" t="s">
        <v>344</v>
      </c>
      <c r="B66" s="106" t="s">
        <v>343</v>
      </c>
    </row>
    <row r="67" ht="12.75">
      <c r="B67" s="106"/>
    </row>
    <row r="68" spans="1:2" ht="13.5" thickBot="1">
      <c r="A68" s="108"/>
      <c r="B68" s="109"/>
    </row>
    <row r="70" ht="12.75">
      <c r="A70" s="4" t="s">
        <v>4</v>
      </c>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B38"/>
  <sheetViews>
    <sheetView zoomScalePageLayoutView="0" workbookViewId="0" topLeftCell="A1">
      <selection activeCell="A11" sqref="A11"/>
    </sheetView>
  </sheetViews>
  <sheetFormatPr defaultColWidth="9.00390625" defaultRowHeight="13.5"/>
  <cols>
    <col min="1" max="1" width="68.75390625" style="0" customWidth="1"/>
    <col min="2" max="2" width="68.125" style="0" customWidth="1"/>
  </cols>
  <sheetData>
    <row r="1" ht="13.5">
      <c r="A1" s="73" t="s">
        <v>708</v>
      </c>
    </row>
    <row r="2" ht="14.25" thickBot="1"/>
    <row r="3" spans="1:2" s="4" customFormat="1" ht="12.75">
      <c r="A3" s="97" t="s">
        <v>712</v>
      </c>
      <c r="B3" s="101"/>
    </row>
    <row r="4" spans="1:2" s="4" customFormat="1" ht="12.75">
      <c r="A4" s="99" t="s">
        <v>713</v>
      </c>
      <c r="B4" s="102" t="s">
        <v>761</v>
      </c>
    </row>
    <row r="5" spans="1:2" s="4" customFormat="1" ht="12.75">
      <c r="A5" s="99" t="s">
        <v>714</v>
      </c>
      <c r="B5" s="102" t="s">
        <v>343</v>
      </c>
    </row>
    <row r="6" spans="1:2" s="4" customFormat="1" ht="38.25">
      <c r="A6" s="99" t="s">
        <v>728</v>
      </c>
      <c r="B6" s="102" t="s">
        <v>766</v>
      </c>
    </row>
    <row r="7" spans="1:2" s="4" customFormat="1" ht="12.75">
      <c r="A7" s="99" t="s">
        <v>729</v>
      </c>
      <c r="B7" s="102" t="s">
        <v>767</v>
      </c>
    </row>
    <row r="8" spans="1:2" s="4" customFormat="1" ht="12.75">
      <c r="A8" s="107"/>
      <c r="B8" s="102"/>
    </row>
    <row r="9" spans="1:2" s="4" customFormat="1" ht="13.5" thickBot="1">
      <c r="A9" s="100"/>
      <c r="B9" s="102"/>
    </row>
    <row r="10" spans="1:2" s="4" customFormat="1" ht="12.75">
      <c r="A10" s="97" t="s">
        <v>698</v>
      </c>
      <c r="B10" s="101"/>
    </row>
    <row r="11" spans="1:2" s="4" customFormat="1" ht="25.5">
      <c r="A11" s="99" t="s">
        <v>413</v>
      </c>
      <c r="B11" s="102" t="s">
        <v>772</v>
      </c>
    </row>
    <row r="12" spans="1:2" s="4" customFormat="1" ht="12.75">
      <c r="A12" s="99" t="s">
        <v>694</v>
      </c>
      <c r="B12" s="102" t="s">
        <v>343</v>
      </c>
    </row>
    <row r="13" spans="1:2" s="4" customFormat="1" ht="25.5">
      <c r="A13" s="99" t="s">
        <v>699</v>
      </c>
      <c r="B13" s="102" t="s">
        <v>343</v>
      </c>
    </row>
    <row r="14" spans="1:2" s="4" customFormat="1" ht="25.5">
      <c r="A14" s="99" t="s">
        <v>695</v>
      </c>
      <c r="B14" s="102" t="s">
        <v>343</v>
      </c>
    </row>
    <row r="15" spans="1:2" s="4" customFormat="1" ht="12.75">
      <c r="A15" s="99" t="s">
        <v>696</v>
      </c>
      <c r="B15" s="102" t="s">
        <v>343</v>
      </c>
    </row>
    <row r="16" spans="1:2" s="4" customFormat="1" ht="25.5">
      <c r="A16" s="99" t="s">
        <v>697</v>
      </c>
      <c r="B16" s="102" t="s">
        <v>343</v>
      </c>
    </row>
    <row r="17" spans="1:2" s="4" customFormat="1" ht="12.75">
      <c r="A17" s="99" t="s">
        <v>700</v>
      </c>
      <c r="B17" s="102" t="s">
        <v>343</v>
      </c>
    </row>
    <row r="18" spans="1:2" s="4" customFormat="1" ht="12.75">
      <c r="A18" s="99" t="s">
        <v>701</v>
      </c>
      <c r="B18" s="102" t="s">
        <v>343</v>
      </c>
    </row>
    <row r="19" spans="1:2" s="4" customFormat="1" ht="25.5">
      <c r="A19" s="99" t="s">
        <v>393</v>
      </c>
      <c r="B19" s="102" t="s">
        <v>768</v>
      </c>
    </row>
    <row r="20" spans="1:2" s="4" customFormat="1" ht="12.75">
      <c r="A20" s="99" t="s">
        <v>345</v>
      </c>
      <c r="B20" s="187" t="s">
        <v>769</v>
      </c>
    </row>
    <row r="21" spans="1:2" s="4" customFormat="1" ht="25.5">
      <c r="A21" s="99" t="s">
        <v>431</v>
      </c>
      <c r="B21" s="102" t="s">
        <v>781</v>
      </c>
    </row>
    <row r="22" spans="1:2" s="4" customFormat="1" ht="25.5">
      <c r="A22" s="99" t="s">
        <v>730</v>
      </c>
      <c r="B22" s="102" t="s">
        <v>770</v>
      </c>
    </row>
    <row r="23" spans="1:2" s="4" customFormat="1" ht="12.75">
      <c r="A23" s="99" t="s">
        <v>702</v>
      </c>
      <c r="B23" s="102" t="s">
        <v>771</v>
      </c>
    </row>
    <row r="24" spans="1:2" s="4" customFormat="1" ht="12.75">
      <c r="A24" s="99" t="s">
        <v>603</v>
      </c>
      <c r="B24" s="102" t="s">
        <v>772</v>
      </c>
    </row>
    <row r="25" spans="1:2" s="4" customFormat="1" ht="13.5" thickBot="1">
      <c r="A25" s="99"/>
      <c r="B25" s="102"/>
    </row>
    <row r="26" spans="1:2" s="4" customFormat="1" ht="12.75">
      <c r="A26" s="97" t="s">
        <v>683</v>
      </c>
      <c r="B26" s="105"/>
    </row>
    <row r="27" spans="1:2" s="4" customFormat="1" ht="12.75">
      <c r="A27" s="107" t="s">
        <v>684</v>
      </c>
      <c r="B27" s="188">
        <v>0.49</v>
      </c>
    </row>
    <row r="28" spans="1:2" s="4" customFormat="1" ht="12.75">
      <c r="A28" s="176" t="s">
        <v>685</v>
      </c>
      <c r="B28" s="106" t="s">
        <v>772</v>
      </c>
    </row>
    <row r="29" spans="1:2" s="4" customFormat="1" ht="63.75">
      <c r="A29" s="177" t="s">
        <v>731</v>
      </c>
      <c r="B29" s="99" t="s">
        <v>782</v>
      </c>
    </row>
    <row r="30" spans="1:2" s="4" customFormat="1" ht="12.75">
      <c r="A30" s="99"/>
      <c r="B30" s="73"/>
    </row>
    <row r="31" ht="14.25" thickBot="1">
      <c r="A31" s="99" t="s">
        <v>4</v>
      </c>
    </row>
    <row r="32" spans="1:2" s="4" customFormat="1" ht="12.75">
      <c r="A32" s="97" t="s">
        <v>337</v>
      </c>
      <c r="B32" s="101"/>
    </row>
    <row r="33" spans="1:2" s="4" customFormat="1" ht="12.75">
      <c r="A33" s="99" t="s">
        <v>342</v>
      </c>
      <c r="B33" s="102" t="s">
        <v>773</v>
      </c>
    </row>
    <row r="34" spans="1:2" s="4" customFormat="1" ht="25.5">
      <c r="A34" s="99" t="s">
        <v>429</v>
      </c>
      <c r="B34" s="102" t="s">
        <v>343</v>
      </c>
    </row>
    <row r="35" spans="1:2" s="4" customFormat="1" ht="25.5">
      <c r="A35" s="99" t="s">
        <v>724</v>
      </c>
      <c r="B35" s="102" t="s">
        <v>780</v>
      </c>
    </row>
    <row r="36" spans="1:2" s="4" customFormat="1" ht="12.75">
      <c r="A36" s="107"/>
      <c r="B36" s="102"/>
    </row>
    <row r="37" spans="1:2" s="4" customFormat="1" ht="12.75">
      <c r="A37" s="99"/>
      <c r="B37" s="102"/>
    </row>
    <row r="38" spans="1:2" ht="14.25" thickBot="1">
      <c r="A38" s="181"/>
      <c r="B38" s="18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5"/>
  <sheetViews>
    <sheetView zoomScalePageLayoutView="0" workbookViewId="0" topLeftCell="A1">
      <selection activeCell="B10" sqref="B10:F10"/>
    </sheetView>
  </sheetViews>
  <sheetFormatPr defaultColWidth="11.375" defaultRowHeight="13.5"/>
  <cols>
    <col min="1" max="1" width="53.50390625" style="4" customWidth="1"/>
    <col min="2" max="2" width="26.75390625" style="4" customWidth="1"/>
    <col min="3" max="3" width="23.00390625" style="4" customWidth="1"/>
    <col min="4" max="4" width="18.125" style="4" customWidth="1"/>
    <col min="5" max="5" width="19.125" style="4" customWidth="1"/>
    <col min="6" max="6" width="13.875" style="4" customWidth="1"/>
    <col min="7" max="16384" width="11.375" style="4" customWidth="1"/>
  </cols>
  <sheetData>
    <row r="1" spans="1:8" ht="13.5" thickBot="1">
      <c r="A1" s="2"/>
      <c r="B1" s="68"/>
      <c r="C1" s="68"/>
      <c r="D1" s="69"/>
      <c r="E1" s="69"/>
      <c r="F1" s="69"/>
      <c r="G1" s="2"/>
      <c r="H1" s="2"/>
    </row>
    <row r="2" spans="1:8" ht="12.75">
      <c r="A2" s="216" t="s">
        <v>306</v>
      </c>
      <c r="B2" s="217"/>
      <c r="C2" s="217"/>
      <c r="D2" s="217"/>
      <c r="E2" s="217"/>
      <c r="F2" s="218"/>
      <c r="G2" s="2"/>
      <c r="H2" s="2"/>
    </row>
    <row r="3" spans="1:8" ht="12.75">
      <c r="A3" s="75"/>
      <c r="B3" s="205"/>
      <c r="C3" s="205"/>
      <c r="D3" s="205"/>
      <c r="E3" s="205"/>
      <c r="F3" s="232"/>
      <c r="G3" s="2"/>
      <c r="H3" s="2"/>
    </row>
    <row r="4" spans="1:8" ht="25.5">
      <c r="A4" s="70" t="s">
        <v>651</v>
      </c>
      <c r="B4" s="205" t="s">
        <v>787</v>
      </c>
      <c r="C4" s="205"/>
      <c r="D4" s="205"/>
      <c r="E4" s="205"/>
      <c r="F4" s="232"/>
      <c r="G4" s="2"/>
      <c r="H4" s="2"/>
    </row>
    <row r="5" spans="1:8" ht="51">
      <c r="A5" s="70" t="s">
        <v>686</v>
      </c>
      <c r="B5" s="205" t="s">
        <v>788</v>
      </c>
      <c r="C5" s="205"/>
      <c r="D5" s="205"/>
      <c r="E5" s="205"/>
      <c r="F5" s="232"/>
      <c r="G5" s="2"/>
      <c r="H5" s="2"/>
    </row>
    <row r="6" spans="1:8" ht="51">
      <c r="A6" s="70" t="s">
        <v>650</v>
      </c>
      <c r="B6" s="205" t="s">
        <v>789</v>
      </c>
      <c r="C6" s="205"/>
      <c r="D6" s="205"/>
      <c r="E6" s="205"/>
      <c r="F6" s="232"/>
      <c r="G6" s="2"/>
      <c r="H6" s="2"/>
    </row>
    <row r="7" spans="1:8" ht="63.75">
      <c r="A7" s="70" t="s">
        <v>692</v>
      </c>
      <c r="B7" s="205" t="s">
        <v>790</v>
      </c>
      <c r="C7" s="205"/>
      <c r="D7" s="205"/>
      <c r="E7" s="205"/>
      <c r="F7" s="232"/>
      <c r="G7" s="2"/>
      <c r="H7" s="2"/>
    </row>
    <row r="8" spans="1:8" ht="76.5">
      <c r="A8" s="70" t="s">
        <v>357</v>
      </c>
      <c r="B8" s="205" t="s">
        <v>791</v>
      </c>
      <c r="C8" s="205"/>
      <c r="D8" s="205"/>
      <c r="E8" s="205"/>
      <c r="F8" s="232"/>
      <c r="G8" s="2"/>
      <c r="H8" s="2"/>
    </row>
    <row r="9" spans="1:8" ht="12.75">
      <c r="A9" s="70" t="s">
        <v>358</v>
      </c>
      <c r="B9" s="205" t="s">
        <v>761</v>
      </c>
      <c r="C9" s="205"/>
      <c r="D9" s="205"/>
      <c r="E9" s="205"/>
      <c r="F9" s="232"/>
      <c r="G9" s="2"/>
      <c r="H9" s="2"/>
    </row>
    <row r="10" spans="1:8" ht="39" thickBot="1">
      <c r="A10" s="90" t="s">
        <v>693</v>
      </c>
      <c r="B10" s="214" t="s">
        <v>792</v>
      </c>
      <c r="C10" s="214"/>
      <c r="D10" s="214"/>
      <c r="E10" s="214"/>
      <c r="F10" s="215"/>
      <c r="G10" s="2"/>
      <c r="H10" s="2"/>
    </row>
    <row r="11" spans="1:8" ht="12.75">
      <c r="A11" s="73"/>
      <c r="B11" s="73"/>
      <c r="C11" s="73"/>
      <c r="D11" s="73"/>
      <c r="E11" s="73"/>
      <c r="F11" s="73"/>
      <c r="G11" s="2"/>
      <c r="H11" s="2"/>
    </row>
    <row r="12" spans="1:8" ht="13.5" thickBot="1">
      <c r="A12" s="91"/>
      <c r="B12" s="92"/>
      <c r="C12" s="92"/>
      <c r="D12" s="92"/>
      <c r="E12" s="92"/>
      <c r="F12" s="92"/>
      <c r="G12" s="2"/>
      <c r="H12" s="2"/>
    </row>
    <row r="13" spans="1:8" ht="12.75">
      <c r="A13" s="216" t="s">
        <v>359</v>
      </c>
      <c r="B13" s="217"/>
      <c r="C13" s="217"/>
      <c r="D13" s="217"/>
      <c r="E13" s="217"/>
      <c r="F13" s="218"/>
      <c r="G13" s="2"/>
      <c r="H13" s="2"/>
    </row>
    <row r="14" spans="1:8" ht="12.75">
      <c r="A14" s="219" t="s">
        <v>308</v>
      </c>
      <c r="B14" s="220"/>
      <c r="C14" s="220"/>
      <c r="D14" s="220"/>
      <c r="E14" s="220"/>
      <c r="F14" s="221"/>
      <c r="G14" s="2"/>
      <c r="H14" s="2"/>
    </row>
    <row r="15" spans="1:8" ht="98.25" customHeight="1">
      <c r="A15" s="233" t="s">
        <v>360</v>
      </c>
      <c r="B15" s="205" t="s">
        <v>307</v>
      </c>
      <c r="C15" s="205"/>
      <c r="D15" s="206" t="s">
        <v>793</v>
      </c>
      <c r="E15" s="234"/>
      <c r="F15" s="235"/>
      <c r="G15" s="2"/>
      <c r="H15" s="2"/>
    </row>
    <row r="16" spans="1:8" ht="110.25" customHeight="1">
      <c r="A16" s="233"/>
      <c r="B16" s="205" t="s">
        <v>309</v>
      </c>
      <c r="C16" s="205"/>
      <c r="D16" s="206" t="s">
        <v>794</v>
      </c>
      <c r="E16" s="234"/>
      <c r="F16" s="235"/>
      <c r="G16" s="2"/>
      <c r="H16" s="2"/>
    </row>
    <row r="17" spans="1:8" ht="117" customHeight="1">
      <c r="A17" s="179" t="s">
        <v>361</v>
      </c>
      <c r="B17" s="205" t="s">
        <v>690</v>
      </c>
      <c r="C17" s="205"/>
      <c r="D17" s="206" t="s">
        <v>955</v>
      </c>
      <c r="E17" s="207"/>
      <c r="F17" s="208"/>
      <c r="G17" s="2"/>
      <c r="H17" s="2"/>
    </row>
    <row r="18" spans="1:8" ht="12.75">
      <c r="A18" s="75" t="s">
        <v>273</v>
      </c>
      <c r="B18" s="220" t="s">
        <v>274</v>
      </c>
      <c r="C18" s="220"/>
      <c r="D18" s="206" t="s">
        <v>772</v>
      </c>
      <c r="E18" s="207"/>
      <c r="F18" s="208"/>
      <c r="G18" s="2"/>
      <c r="H18" s="2"/>
    </row>
    <row r="19" spans="1:8" ht="116.25" customHeight="1" thickBot="1">
      <c r="A19" s="83" t="s">
        <v>689</v>
      </c>
      <c r="B19" s="222" t="s">
        <v>691</v>
      </c>
      <c r="C19" s="223"/>
      <c r="D19" s="206" t="s">
        <v>956</v>
      </c>
      <c r="E19" s="207"/>
      <c r="F19" s="210"/>
      <c r="G19" s="2"/>
      <c r="H19" s="2"/>
    </row>
    <row r="20" spans="1:8" ht="12.75">
      <c r="A20" s="2"/>
      <c r="B20" s="68"/>
      <c r="C20" s="68"/>
      <c r="D20" s="69"/>
      <c r="E20" s="69"/>
      <c r="F20" s="69"/>
      <c r="G20" s="2"/>
      <c r="H20" s="2"/>
    </row>
    <row r="21" spans="1:8" ht="12.75">
      <c r="A21" s="209" t="s">
        <v>310</v>
      </c>
      <c r="B21" s="209"/>
      <c r="C21" s="209"/>
      <c r="D21" s="209"/>
      <c r="E21" s="209"/>
      <c r="F21" s="209"/>
      <c r="G21" s="2"/>
      <c r="H21" s="2"/>
    </row>
    <row r="22" spans="1:8" ht="12.75">
      <c r="A22" s="21" t="s">
        <v>635</v>
      </c>
      <c r="B22" s="224" t="s">
        <v>251</v>
      </c>
      <c r="C22" s="225"/>
      <c r="D22" s="211" t="s">
        <v>254</v>
      </c>
      <c r="E22" s="212"/>
      <c r="F22" s="213"/>
      <c r="G22" s="2"/>
      <c r="H22" s="2"/>
    </row>
    <row r="23" spans="1:8" ht="84" customHeight="1">
      <c r="A23" s="129" t="s">
        <v>249</v>
      </c>
      <c r="B23" s="206" t="s">
        <v>636</v>
      </c>
      <c r="C23" s="210"/>
      <c r="D23" s="206" t="s">
        <v>795</v>
      </c>
      <c r="E23" s="207"/>
      <c r="F23" s="210"/>
      <c r="G23" s="2"/>
      <c r="H23" s="2"/>
    </row>
    <row r="24" spans="1:8" ht="60.75" customHeight="1">
      <c r="A24" s="71" t="s">
        <v>252</v>
      </c>
      <c r="B24" s="206" t="s">
        <v>253</v>
      </c>
      <c r="C24" s="210"/>
      <c r="D24" s="206" t="s">
        <v>772</v>
      </c>
      <c r="E24" s="207"/>
      <c r="F24" s="210"/>
      <c r="G24" s="2"/>
      <c r="H24" s="2"/>
    </row>
    <row r="25" spans="1:8" ht="62.25" customHeight="1">
      <c r="A25" s="129" t="s">
        <v>250</v>
      </c>
      <c r="B25" s="206" t="s">
        <v>637</v>
      </c>
      <c r="C25" s="210"/>
      <c r="D25" s="206" t="s">
        <v>796</v>
      </c>
      <c r="E25" s="207"/>
      <c r="F25" s="210"/>
      <c r="G25" s="2"/>
      <c r="H25" s="2"/>
    </row>
    <row r="26" ht="12.75"/>
    <row r="27" spans="1:8" ht="12.75">
      <c r="A27" s="73"/>
      <c r="B27" s="73"/>
      <c r="C27" s="73"/>
      <c r="D27" s="73"/>
      <c r="E27" s="73"/>
      <c r="F27" s="69"/>
      <c r="G27" s="2"/>
      <c r="H27" s="2"/>
    </row>
    <row r="28" spans="1:8" ht="13.5" thickBot="1">
      <c r="A28" s="226" t="s">
        <v>311</v>
      </c>
      <c r="B28" s="227"/>
      <c r="C28" s="227"/>
      <c r="D28" s="227"/>
      <c r="E28" s="227"/>
      <c r="F28" s="227"/>
      <c r="G28" s="2"/>
      <c r="H28" s="2"/>
    </row>
    <row r="29" spans="1:8" ht="12.75">
      <c r="A29" s="241" t="s">
        <v>283</v>
      </c>
      <c r="B29" s="242"/>
      <c r="C29" s="242"/>
      <c r="D29" s="242"/>
      <c r="E29" s="242"/>
      <c r="F29" s="242"/>
      <c r="G29" s="2"/>
      <c r="H29" s="2"/>
    </row>
    <row r="30" spans="1:8" ht="12.75">
      <c r="A30" s="74" t="s">
        <v>183</v>
      </c>
      <c r="B30" s="230" t="s">
        <v>184</v>
      </c>
      <c r="C30" s="230"/>
      <c r="D30" s="230" t="s">
        <v>186</v>
      </c>
      <c r="E30" s="230"/>
      <c r="F30" s="230"/>
      <c r="G30" s="2"/>
      <c r="H30" s="2"/>
    </row>
    <row r="31" spans="1:8" ht="30" customHeight="1">
      <c r="A31" s="75" t="s">
        <v>175</v>
      </c>
      <c r="B31" s="205" t="s">
        <v>260</v>
      </c>
      <c r="C31" s="205"/>
      <c r="D31" s="205" t="s">
        <v>797</v>
      </c>
      <c r="E31" s="205"/>
      <c r="F31" s="205"/>
      <c r="G31" s="2"/>
      <c r="H31" s="2"/>
    </row>
    <row r="32" spans="1:8" ht="47.25" customHeight="1">
      <c r="A32" s="75" t="s">
        <v>182</v>
      </c>
      <c r="B32" s="205" t="s">
        <v>255</v>
      </c>
      <c r="C32" s="205"/>
      <c r="D32" s="205" t="s">
        <v>798</v>
      </c>
      <c r="E32" s="205"/>
      <c r="F32" s="205"/>
      <c r="G32" s="2"/>
      <c r="H32" s="2"/>
    </row>
    <row r="33" spans="1:8" ht="25.5" customHeight="1">
      <c r="A33" s="75" t="s">
        <v>176</v>
      </c>
      <c r="B33" s="205" t="s">
        <v>206</v>
      </c>
      <c r="C33" s="205"/>
      <c r="D33" s="205" t="s">
        <v>799</v>
      </c>
      <c r="E33" s="205"/>
      <c r="F33" s="205"/>
      <c r="G33" s="2"/>
      <c r="H33" s="2"/>
    </row>
    <row r="34" spans="1:8" ht="22.5" customHeight="1">
      <c r="A34" s="75" t="s">
        <v>223</v>
      </c>
      <c r="B34" s="205" t="s">
        <v>256</v>
      </c>
      <c r="C34" s="205"/>
      <c r="D34" s="205" t="s">
        <v>761</v>
      </c>
      <c r="E34" s="205"/>
      <c r="F34" s="205"/>
      <c r="G34" s="2"/>
      <c r="H34" s="2"/>
    </row>
    <row r="35" spans="1:8" ht="19.5" customHeight="1">
      <c r="A35" s="75" t="s">
        <v>257</v>
      </c>
      <c r="B35" s="205" t="s">
        <v>224</v>
      </c>
      <c r="C35" s="205"/>
      <c r="D35" s="205" t="s">
        <v>761</v>
      </c>
      <c r="E35" s="205"/>
      <c r="F35" s="205"/>
      <c r="G35" s="2"/>
      <c r="H35" s="2"/>
    </row>
    <row r="36" spans="1:8" ht="24" customHeight="1" thickBot="1">
      <c r="A36" s="72" t="s">
        <v>177</v>
      </c>
      <c r="B36" s="214" t="s">
        <v>185</v>
      </c>
      <c r="C36" s="214"/>
      <c r="D36" s="214" t="s">
        <v>800</v>
      </c>
      <c r="E36" s="214"/>
      <c r="F36" s="214"/>
      <c r="G36" s="2"/>
      <c r="H36" s="2"/>
    </row>
    <row r="37" spans="1:8" ht="12.75">
      <c r="A37" s="73"/>
      <c r="B37" s="73"/>
      <c r="C37" s="73"/>
      <c r="D37" s="73"/>
      <c r="E37" s="73"/>
      <c r="F37" s="69"/>
      <c r="G37" s="2"/>
      <c r="H37" s="2"/>
    </row>
    <row r="38" spans="1:8" ht="12.75">
      <c r="A38" s="73"/>
      <c r="B38" s="73"/>
      <c r="C38" s="73"/>
      <c r="D38" s="73"/>
      <c r="E38" s="73"/>
      <c r="F38" s="69"/>
      <c r="G38" s="2"/>
      <c r="H38" s="2"/>
    </row>
    <row r="39" ht="12.75"/>
    <row r="40" spans="1:5" ht="12.75">
      <c r="A40" s="231" t="s">
        <v>258</v>
      </c>
      <c r="B40" s="231"/>
      <c r="C40" s="231"/>
      <c r="D40" s="231"/>
      <c r="E40" s="231"/>
    </row>
    <row r="41" spans="1:5" ht="12.75">
      <c r="A41" s="229" t="s">
        <v>233</v>
      </c>
      <c r="B41" s="229"/>
      <c r="C41" s="229"/>
      <c r="D41" s="229" t="s">
        <v>234</v>
      </c>
      <c r="E41" s="229"/>
    </row>
    <row r="42" spans="1:5" ht="12.75">
      <c r="A42" s="229" t="s">
        <v>617</v>
      </c>
      <c r="B42" s="229"/>
      <c r="C42" s="229"/>
      <c r="D42" s="229" t="s">
        <v>805</v>
      </c>
      <c r="E42" s="229"/>
    </row>
    <row r="43" spans="1:5" ht="12.75">
      <c r="A43" s="229" t="s">
        <v>198</v>
      </c>
      <c r="B43" s="229"/>
      <c r="C43" s="229"/>
      <c r="D43" s="229" t="s">
        <v>201</v>
      </c>
      <c r="E43" s="229"/>
    </row>
    <row r="44" spans="1:5" ht="12.75">
      <c r="A44" s="229"/>
      <c r="B44" s="229"/>
      <c r="C44" s="229"/>
      <c r="D44" s="229"/>
      <c r="E44" s="229"/>
    </row>
    <row r="45" spans="1:5" ht="12.75">
      <c r="A45" s="228"/>
      <c r="B45" s="228"/>
      <c r="C45" s="228"/>
      <c r="D45" s="228"/>
      <c r="E45" s="228"/>
    </row>
    <row r="46" ht="13.5" thickBot="1"/>
    <row r="47" spans="1:5" ht="12.75">
      <c r="A47" s="76" t="s">
        <v>193</v>
      </c>
      <c r="B47" s="78" t="s">
        <v>194</v>
      </c>
      <c r="C47" s="78" t="s">
        <v>199</v>
      </c>
      <c r="D47" s="238" t="s">
        <v>671</v>
      </c>
      <c r="E47" s="239"/>
    </row>
    <row r="48" spans="1:5" ht="12.75">
      <c r="A48" s="75" t="s">
        <v>195</v>
      </c>
      <c r="B48" s="8" t="s">
        <v>196</v>
      </c>
      <c r="C48" s="1" t="s">
        <v>130</v>
      </c>
      <c r="D48" s="236" t="s">
        <v>801</v>
      </c>
      <c r="E48" s="237"/>
    </row>
    <row r="49" spans="1:5" ht="12.75">
      <c r="A49" s="75"/>
      <c r="B49" s="8" t="s">
        <v>197</v>
      </c>
      <c r="C49" s="1" t="s">
        <v>130</v>
      </c>
      <c r="D49" s="229" t="s">
        <v>802</v>
      </c>
      <c r="E49" s="240"/>
    </row>
    <row r="50" spans="1:5" ht="12.75">
      <c r="A50" s="75"/>
      <c r="B50" s="8"/>
      <c r="C50" s="1"/>
      <c r="D50" s="229"/>
      <c r="E50" s="240"/>
    </row>
    <row r="51" spans="1:5" ht="12.75">
      <c r="A51" s="75"/>
      <c r="B51" s="8"/>
      <c r="C51" s="1"/>
      <c r="D51" s="229"/>
      <c r="E51" s="240"/>
    </row>
    <row r="52" spans="1:5" ht="12.75">
      <c r="A52" s="75"/>
      <c r="B52" s="8"/>
      <c r="C52" s="1"/>
      <c r="D52" s="229"/>
      <c r="E52" s="240"/>
    </row>
    <row r="53" spans="1:5" ht="12.75">
      <c r="A53" s="75" t="s">
        <v>198</v>
      </c>
      <c r="B53" s="8" t="s">
        <v>59</v>
      </c>
      <c r="C53" s="1" t="s">
        <v>130</v>
      </c>
      <c r="D53" s="229" t="s">
        <v>802</v>
      </c>
      <c r="E53" s="240"/>
    </row>
    <row r="54" spans="1:5" ht="12.75">
      <c r="A54" s="75"/>
      <c r="B54" s="8" t="s">
        <v>200</v>
      </c>
      <c r="C54" s="1" t="s">
        <v>131</v>
      </c>
      <c r="D54" s="229" t="s">
        <v>4</v>
      </c>
      <c r="E54" s="240"/>
    </row>
    <row r="55" spans="1:5" ht="12.75">
      <c r="A55" s="75"/>
      <c r="B55" s="8" t="s">
        <v>201</v>
      </c>
      <c r="C55" s="1" t="s">
        <v>130</v>
      </c>
      <c r="D55" s="229" t="s">
        <v>803</v>
      </c>
      <c r="E55" s="240"/>
    </row>
    <row r="56" spans="1:5" ht="12.75">
      <c r="A56" s="75"/>
      <c r="B56" s="8"/>
      <c r="C56" s="1"/>
      <c r="D56" s="229"/>
      <c r="E56" s="240"/>
    </row>
    <row r="57" spans="1:5" ht="12.75">
      <c r="A57" s="75"/>
      <c r="B57" s="8"/>
      <c r="C57" s="1"/>
      <c r="D57" s="229"/>
      <c r="E57" s="240"/>
    </row>
    <row r="58" spans="1:5" ht="12.75">
      <c r="A58" s="75" t="s">
        <v>202</v>
      </c>
      <c r="B58" s="8" t="s">
        <v>203</v>
      </c>
      <c r="C58" s="1" t="s">
        <v>131</v>
      </c>
      <c r="D58" s="229"/>
      <c r="E58" s="240"/>
    </row>
    <row r="59" spans="1:5" ht="12.75">
      <c r="A59" s="75"/>
      <c r="B59" s="8" t="s">
        <v>204</v>
      </c>
      <c r="C59" s="1" t="s">
        <v>131</v>
      </c>
      <c r="D59" s="229" t="s">
        <v>804</v>
      </c>
      <c r="E59" s="240"/>
    </row>
    <row r="60" spans="1:5" ht="12.75">
      <c r="A60" s="75"/>
      <c r="B60" s="1"/>
      <c r="C60" s="1"/>
      <c r="D60" s="229"/>
      <c r="E60" s="240"/>
    </row>
    <row r="61" spans="1:5" ht="12.75">
      <c r="A61" s="75"/>
      <c r="B61" s="1"/>
      <c r="C61" s="1"/>
      <c r="D61" s="229"/>
      <c r="E61" s="240"/>
    </row>
    <row r="62" spans="1:5" ht="12.75">
      <c r="A62" s="75"/>
      <c r="B62" s="1"/>
      <c r="C62" s="1"/>
      <c r="D62" s="229"/>
      <c r="E62" s="240"/>
    </row>
    <row r="63" spans="1:5" ht="12.75">
      <c r="A63" s="75"/>
      <c r="B63" s="1"/>
      <c r="C63" s="1"/>
      <c r="D63" s="229"/>
      <c r="E63" s="240"/>
    </row>
    <row r="64" spans="1:5" ht="12.75">
      <c r="A64" s="75"/>
      <c r="B64" s="1"/>
      <c r="C64" s="1"/>
      <c r="D64" s="229"/>
      <c r="E64" s="240"/>
    </row>
    <row r="65" spans="1:5" ht="13.5" thickBot="1">
      <c r="A65" s="72"/>
      <c r="B65" s="77"/>
      <c r="C65" s="77"/>
      <c r="D65" s="243"/>
      <c r="E65" s="244"/>
    </row>
  </sheetData>
  <sheetProtection/>
  <mergeCells count="77">
    <mergeCell ref="D56:E56"/>
    <mergeCell ref="D57:E57"/>
    <mergeCell ref="D58:E58"/>
    <mergeCell ref="D65:E65"/>
    <mergeCell ref="D59:E59"/>
    <mergeCell ref="D60:E60"/>
    <mergeCell ref="D61:E61"/>
    <mergeCell ref="D62:E62"/>
    <mergeCell ref="D63:E63"/>
    <mergeCell ref="D64:E64"/>
    <mergeCell ref="D50:E50"/>
    <mergeCell ref="D51:E51"/>
    <mergeCell ref="D52:E52"/>
    <mergeCell ref="D53:E53"/>
    <mergeCell ref="D54:E54"/>
    <mergeCell ref="D55:E55"/>
    <mergeCell ref="A15:A16"/>
    <mergeCell ref="D15:F15"/>
    <mergeCell ref="D16:F16"/>
    <mergeCell ref="D48:E48"/>
    <mergeCell ref="D47:E47"/>
    <mergeCell ref="D49:E49"/>
    <mergeCell ref="A42:C42"/>
    <mergeCell ref="A43:C43"/>
    <mergeCell ref="A44:C44"/>
    <mergeCell ref="A29:F29"/>
    <mergeCell ref="A2:F2"/>
    <mergeCell ref="B3:F3"/>
    <mergeCell ref="B4:F4"/>
    <mergeCell ref="B9:F9"/>
    <mergeCell ref="B5:F5"/>
    <mergeCell ref="B6:F6"/>
    <mergeCell ref="B8:F8"/>
    <mergeCell ref="B7:F7"/>
    <mergeCell ref="D41:E41"/>
    <mergeCell ref="D42:E42"/>
    <mergeCell ref="D43:E43"/>
    <mergeCell ref="D44:E44"/>
    <mergeCell ref="B31:C31"/>
    <mergeCell ref="B36:C36"/>
    <mergeCell ref="D33:F33"/>
    <mergeCell ref="D36:F36"/>
    <mergeCell ref="B34:C34"/>
    <mergeCell ref="D34:F34"/>
    <mergeCell ref="A45:C45"/>
    <mergeCell ref="A41:C41"/>
    <mergeCell ref="B32:C32"/>
    <mergeCell ref="B30:C30"/>
    <mergeCell ref="D30:F30"/>
    <mergeCell ref="D31:F31"/>
    <mergeCell ref="D32:F32"/>
    <mergeCell ref="A40:E40"/>
    <mergeCell ref="D45:E45"/>
    <mergeCell ref="B33:C33"/>
    <mergeCell ref="B35:C35"/>
    <mergeCell ref="D35:F35"/>
    <mergeCell ref="A28:F28"/>
    <mergeCell ref="B25:C25"/>
    <mergeCell ref="B23:C23"/>
    <mergeCell ref="D23:F23"/>
    <mergeCell ref="B18:C18"/>
    <mergeCell ref="B19:C19"/>
    <mergeCell ref="D19:F19"/>
    <mergeCell ref="D24:F24"/>
    <mergeCell ref="D25:F25"/>
    <mergeCell ref="B22:C22"/>
    <mergeCell ref="D18:F18"/>
    <mergeCell ref="B17:C17"/>
    <mergeCell ref="D17:F17"/>
    <mergeCell ref="A21:F21"/>
    <mergeCell ref="B24:C24"/>
    <mergeCell ref="D22:F22"/>
    <mergeCell ref="B10:F10"/>
    <mergeCell ref="A13:F13"/>
    <mergeCell ref="A14:F14"/>
    <mergeCell ref="B15:C15"/>
    <mergeCell ref="B16:C16"/>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G82"/>
  <sheetViews>
    <sheetView zoomScalePageLayoutView="0" workbookViewId="0" topLeftCell="A1">
      <selection activeCell="C27" sqref="C27"/>
    </sheetView>
  </sheetViews>
  <sheetFormatPr defaultColWidth="9.125" defaultRowHeight="13.5"/>
  <cols>
    <col min="1" max="1" width="3.75390625" style="4" bestFit="1" customWidth="1"/>
    <col min="2" max="2" width="49.75390625" style="4" customWidth="1"/>
    <col min="3" max="3" width="7.875" style="4" bestFit="1" customWidth="1"/>
    <col min="4" max="4" width="65.50390625" style="4" customWidth="1"/>
    <col min="5" max="5" width="6.375" style="4" bestFit="1" customWidth="1"/>
    <col min="6" max="6" width="13.625" style="4" bestFit="1" customWidth="1"/>
    <col min="7" max="16384" width="9.125" style="4" customWidth="1"/>
  </cols>
  <sheetData>
    <row r="1" spans="2:6" ht="25.5">
      <c r="B1" s="23" t="s">
        <v>4</v>
      </c>
      <c r="C1" s="1" t="s">
        <v>129</v>
      </c>
      <c r="D1" s="156" t="s">
        <v>457</v>
      </c>
      <c r="E1" s="1" t="s">
        <v>146</v>
      </c>
      <c r="F1" s="1" t="s">
        <v>159</v>
      </c>
    </row>
    <row r="2" spans="1:4" ht="25.5">
      <c r="A2" s="1"/>
      <c r="B2" s="21" t="s">
        <v>248</v>
      </c>
      <c r="D2" s="13" t="s">
        <v>811</v>
      </c>
    </row>
    <row r="3" spans="1:6" ht="12.75">
      <c r="A3" s="1">
        <v>1</v>
      </c>
      <c r="B3" s="2" t="s">
        <v>275</v>
      </c>
      <c r="C3" s="1" t="s">
        <v>132</v>
      </c>
      <c r="D3" s="8" t="s">
        <v>806</v>
      </c>
      <c r="E3" s="1"/>
      <c r="F3" s="1" t="s">
        <v>130</v>
      </c>
    </row>
    <row r="4" spans="1:6" ht="12.75">
      <c r="A4" s="1">
        <f>A3+1</f>
        <v>2</v>
      </c>
      <c r="B4" s="8" t="s">
        <v>96</v>
      </c>
      <c r="C4" s="1" t="s">
        <v>132</v>
      </c>
      <c r="D4" s="8" t="s">
        <v>807</v>
      </c>
      <c r="E4" s="1"/>
      <c r="F4" s="1" t="s">
        <v>130</v>
      </c>
    </row>
    <row r="5" spans="1:6" ht="12.75">
      <c r="A5" s="1">
        <f aca="true" t="shared" si="0" ref="A5:A18">A4+1</f>
        <v>3</v>
      </c>
      <c r="B5" s="8" t="s">
        <v>97</v>
      </c>
      <c r="C5" s="1" t="s">
        <v>132</v>
      </c>
      <c r="D5" s="8" t="s">
        <v>808</v>
      </c>
      <c r="E5" s="1"/>
      <c r="F5" s="1" t="s">
        <v>130</v>
      </c>
    </row>
    <row r="6" spans="1:6" ht="12.75">
      <c r="A6" s="1">
        <f t="shared" si="0"/>
        <v>4</v>
      </c>
      <c r="B6" s="8" t="s">
        <v>98</v>
      </c>
      <c r="C6" s="1" t="s">
        <v>134</v>
      </c>
      <c r="D6" s="8" t="s">
        <v>806</v>
      </c>
      <c r="E6" s="1"/>
      <c r="F6" s="1" t="s">
        <v>130</v>
      </c>
    </row>
    <row r="7" spans="1:6" ht="12.75">
      <c r="A7" s="1">
        <f t="shared" si="0"/>
        <v>5</v>
      </c>
      <c r="B7" s="8" t="s">
        <v>99</v>
      </c>
      <c r="C7" s="1" t="s">
        <v>133</v>
      </c>
      <c r="D7" s="8" t="s">
        <v>808</v>
      </c>
      <c r="E7" s="1"/>
      <c r="F7" s="1"/>
    </row>
    <row r="8" spans="1:6" ht="12.75">
      <c r="A8" s="1">
        <f t="shared" si="0"/>
        <v>6</v>
      </c>
      <c r="B8" s="8" t="s">
        <v>100</v>
      </c>
      <c r="C8" s="1" t="s">
        <v>134</v>
      </c>
      <c r="D8" s="8" t="s">
        <v>806</v>
      </c>
      <c r="E8" s="1"/>
      <c r="F8" s="1" t="s">
        <v>130</v>
      </c>
    </row>
    <row r="9" spans="1:6" ht="12.75">
      <c r="A9" s="1">
        <f t="shared" si="0"/>
        <v>7</v>
      </c>
      <c r="B9" s="8" t="s">
        <v>276</v>
      </c>
      <c r="C9" s="1" t="s">
        <v>133</v>
      </c>
      <c r="D9" s="8" t="s">
        <v>809</v>
      </c>
      <c r="E9" s="1"/>
      <c r="F9" s="1"/>
    </row>
    <row r="10" spans="1:6" ht="12.75">
      <c r="A10" s="1">
        <f t="shared" si="0"/>
        <v>8</v>
      </c>
      <c r="B10" s="8" t="s">
        <v>101</v>
      </c>
      <c r="C10" s="1" t="s">
        <v>145</v>
      </c>
      <c r="D10" s="8" t="s">
        <v>809</v>
      </c>
      <c r="E10" s="1"/>
      <c r="F10" s="1"/>
    </row>
    <row r="11" spans="1:6" ht="12.75">
      <c r="A11" s="1">
        <f t="shared" si="0"/>
        <v>9</v>
      </c>
      <c r="B11" s="8" t="s">
        <v>102</v>
      </c>
      <c r="C11" s="1"/>
      <c r="D11" s="8" t="s">
        <v>772</v>
      </c>
      <c r="E11" s="1"/>
      <c r="F11" s="1"/>
    </row>
    <row r="12" spans="1:6" ht="12.75">
      <c r="A12" s="1">
        <f t="shared" si="0"/>
        <v>10</v>
      </c>
      <c r="B12" s="8" t="s">
        <v>103</v>
      </c>
      <c r="C12" s="1"/>
      <c r="D12" s="8" t="s">
        <v>353</v>
      </c>
      <c r="E12" s="1"/>
      <c r="F12" s="1"/>
    </row>
    <row r="13" spans="1:6" ht="12.75">
      <c r="A13" s="1">
        <f t="shared" si="0"/>
        <v>11</v>
      </c>
      <c r="B13" s="8" t="s">
        <v>277</v>
      </c>
      <c r="C13" s="1"/>
      <c r="D13" s="8" t="s">
        <v>353</v>
      </c>
      <c r="E13" s="1"/>
      <c r="F13" s="1"/>
    </row>
    <row r="14" spans="1:6" ht="12.75">
      <c r="A14" s="1">
        <f t="shared" si="0"/>
        <v>12</v>
      </c>
      <c r="B14" s="8" t="s">
        <v>278</v>
      </c>
      <c r="C14" s="1"/>
      <c r="D14" s="8" t="s">
        <v>806</v>
      </c>
      <c r="E14" s="1"/>
      <c r="F14" s="1"/>
    </row>
    <row r="15" spans="1:6" ht="12.75">
      <c r="A15" s="1">
        <f t="shared" si="0"/>
        <v>13</v>
      </c>
      <c r="B15" s="8" t="s">
        <v>279</v>
      </c>
      <c r="C15" s="1"/>
      <c r="D15" s="8" t="s">
        <v>353</v>
      </c>
      <c r="E15" s="1"/>
      <c r="F15" s="1"/>
    </row>
    <row r="16" spans="1:6" ht="12.75">
      <c r="A16" s="1">
        <f t="shared" si="0"/>
        <v>14</v>
      </c>
      <c r="B16" s="8" t="s">
        <v>280</v>
      </c>
      <c r="C16" s="1"/>
      <c r="D16" s="8" t="s">
        <v>353</v>
      </c>
      <c r="E16" s="1"/>
      <c r="F16" s="1"/>
    </row>
    <row r="17" spans="1:6" ht="12.75">
      <c r="A17" s="1">
        <f t="shared" si="0"/>
        <v>15</v>
      </c>
      <c r="B17" s="8" t="s">
        <v>281</v>
      </c>
      <c r="C17" s="1"/>
      <c r="D17" s="8" t="s">
        <v>808</v>
      </c>
      <c r="E17" s="1"/>
      <c r="F17" s="1"/>
    </row>
    <row r="18" spans="1:6" ht="38.25">
      <c r="A18" s="1">
        <f t="shared" si="0"/>
        <v>16</v>
      </c>
      <c r="B18" s="8" t="s">
        <v>648</v>
      </c>
      <c r="C18" s="1"/>
      <c r="D18" s="8" t="s">
        <v>810</v>
      </c>
      <c r="E18" s="1"/>
      <c r="F18" s="1"/>
    </row>
    <row r="19" spans="1:6" ht="12.75">
      <c r="A19" s="1"/>
      <c r="B19" s="14" t="s">
        <v>217</v>
      </c>
      <c r="C19" s="14"/>
      <c r="D19" s="15"/>
      <c r="E19" s="14" t="e">
        <f>AVERAGE(E3:E18)</f>
        <v>#DIV/0!</v>
      </c>
      <c r="F19" s="1"/>
    </row>
    <row r="20" spans="1:6" ht="12.75">
      <c r="A20" s="1"/>
      <c r="B20" s="12" t="s">
        <v>104</v>
      </c>
      <c r="C20" s="1"/>
      <c r="D20" s="13" t="s">
        <v>812</v>
      </c>
      <c r="E20" s="1"/>
      <c r="F20" s="1"/>
    </row>
    <row r="21" spans="1:6" ht="12.75">
      <c r="A21" s="1">
        <f>A18+1</f>
        <v>17</v>
      </c>
      <c r="B21" s="1" t="s">
        <v>105</v>
      </c>
      <c r="C21" s="1" t="s">
        <v>131</v>
      </c>
      <c r="D21" s="8" t="s">
        <v>808</v>
      </c>
      <c r="E21" s="1"/>
      <c r="F21" s="1"/>
    </row>
    <row r="22" spans="1:6" ht="12.75">
      <c r="A22" s="1">
        <f>A21+1</f>
        <v>18</v>
      </c>
      <c r="B22" s="1" t="s">
        <v>106</v>
      </c>
      <c r="C22" s="1" t="s">
        <v>131</v>
      </c>
      <c r="D22" s="8" t="s">
        <v>806</v>
      </c>
      <c r="E22" s="1"/>
      <c r="F22" s="1"/>
    </row>
    <row r="23" spans="1:6" ht="12.75">
      <c r="A23" s="1">
        <f>A22+1</f>
        <v>19</v>
      </c>
      <c r="B23" s="1" t="s">
        <v>107</v>
      </c>
      <c r="C23" s="1" t="s">
        <v>130</v>
      </c>
      <c r="D23" s="1" t="s">
        <v>772</v>
      </c>
      <c r="E23" s="1"/>
      <c r="F23" s="1"/>
    </row>
    <row r="24" spans="1:6" ht="12.75">
      <c r="A24" s="1">
        <f>A23+1</f>
        <v>20</v>
      </c>
      <c r="B24" s="1" t="s">
        <v>108</v>
      </c>
      <c r="C24" s="1" t="s">
        <v>131</v>
      </c>
      <c r="D24" s="8" t="s">
        <v>353</v>
      </c>
      <c r="E24" s="1"/>
      <c r="F24" s="1"/>
    </row>
    <row r="25" spans="1:6" ht="12.75">
      <c r="A25" s="1">
        <f>A24+1</f>
        <v>21</v>
      </c>
      <c r="B25" s="1" t="s">
        <v>109</v>
      </c>
      <c r="C25" s="1" t="s">
        <v>131</v>
      </c>
      <c r="D25" s="8" t="s">
        <v>806</v>
      </c>
      <c r="E25" s="1"/>
      <c r="F25" s="1"/>
    </row>
    <row r="26" spans="1:6" ht="12.75">
      <c r="A26" s="1">
        <f>A25+1</f>
        <v>22</v>
      </c>
      <c r="B26" s="1" t="s">
        <v>110</v>
      </c>
      <c r="C26" s="1"/>
      <c r="D26" s="8" t="s">
        <v>353</v>
      </c>
      <c r="E26" s="1"/>
      <c r="F26" s="1"/>
    </row>
    <row r="27" spans="1:6" ht="12.75">
      <c r="A27" s="1">
        <v>17</v>
      </c>
      <c r="B27" s="1" t="s">
        <v>111</v>
      </c>
      <c r="C27" s="1" t="s">
        <v>133</v>
      </c>
      <c r="D27" s="8" t="s">
        <v>772</v>
      </c>
      <c r="E27" s="1"/>
      <c r="F27" s="1"/>
    </row>
    <row r="28" spans="1:6" ht="12.75">
      <c r="A28" s="1"/>
      <c r="B28" s="14" t="s">
        <v>217</v>
      </c>
      <c r="C28" s="14"/>
      <c r="D28" s="15"/>
      <c r="E28" s="14" t="e">
        <f>AVERAGE(E19:E27)</f>
        <v>#DIV/0!</v>
      </c>
      <c r="F28" s="1"/>
    </row>
    <row r="29" spans="1:6" ht="12.75">
      <c r="A29" s="1"/>
      <c r="B29" s="12" t="s">
        <v>112</v>
      </c>
      <c r="C29" s="1"/>
      <c r="D29" s="13" t="s">
        <v>813</v>
      </c>
      <c r="E29" s="1"/>
      <c r="F29" s="1"/>
    </row>
    <row r="30" spans="1:6" ht="12.75">
      <c r="A30" s="1">
        <v>18</v>
      </c>
      <c r="B30" s="1" t="s">
        <v>113</v>
      </c>
      <c r="C30" s="1" t="s">
        <v>133</v>
      </c>
      <c r="D30" s="8" t="s">
        <v>808</v>
      </c>
      <c r="E30" s="1"/>
      <c r="F30" s="1"/>
    </row>
    <row r="31" spans="1:6" ht="12.75">
      <c r="A31" s="1">
        <f>A30+1</f>
        <v>19</v>
      </c>
      <c r="B31" s="1" t="s">
        <v>114</v>
      </c>
      <c r="C31" s="1" t="s">
        <v>133</v>
      </c>
      <c r="D31" s="8" t="s">
        <v>814</v>
      </c>
      <c r="E31" s="1"/>
      <c r="F31" s="1"/>
    </row>
    <row r="32" spans="1:6" ht="12.75">
      <c r="A32" s="1">
        <f aca="true" t="shared" si="1" ref="A32:A51">A31+1</f>
        <v>20</v>
      </c>
      <c r="B32" s="22" t="s">
        <v>115</v>
      </c>
      <c r="C32" s="1" t="s">
        <v>133</v>
      </c>
      <c r="D32" s="8" t="s">
        <v>808</v>
      </c>
      <c r="E32" s="1"/>
      <c r="F32" s="1"/>
    </row>
    <row r="33" spans="1:6" ht="12.75">
      <c r="A33" s="1">
        <f t="shared" si="1"/>
        <v>21</v>
      </c>
      <c r="B33" s="1" t="s">
        <v>116</v>
      </c>
      <c r="C33" s="1" t="s">
        <v>134</v>
      </c>
      <c r="D33" s="8" t="s">
        <v>353</v>
      </c>
      <c r="E33" s="1"/>
      <c r="F33" s="1"/>
    </row>
    <row r="34" spans="1:6" ht="12.75">
      <c r="A34" s="1">
        <f t="shared" si="1"/>
        <v>22</v>
      </c>
      <c r="B34" s="1" t="s">
        <v>117</v>
      </c>
      <c r="C34" s="1" t="s">
        <v>131</v>
      </c>
      <c r="D34" s="8" t="s">
        <v>772</v>
      </c>
      <c r="E34" s="1"/>
      <c r="F34" s="1"/>
    </row>
    <row r="35" spans="1:6" ht="12.75">
      <c r="A35" s="1"/>
      <c r="B35" s="14" t="s">
        <v>217</v>
      </c>
      <c r="C35" s="14"/>
      <c r="D35" s="15"/>
      <c r="E35" s="14"/>
      <c r="F35" s="1"/>
    </row>
    <row r="36" spans="1:6" ht="12.75">
      <c r="A36" s="1" t="s">
        <v>4</v>
      </c>
      <c r="B36" s="12" t="s">
        <v>118</v>
      </c>
      <c r="C36" s="1" t="s">
        <v>4</v>
      </c>
      <c r="D36" s="13" t="s">
        <v>815</v>
      </c>
      <c r="E36" s="1"/>
      <c r="F36" s="1"/>
    </row>
    <row r="37" spans="1:6" ht="12.75">
      <c r="A37" s="1">
        <v>23</v>
      </c>
      <c r="B37" s="1" t="s">
        <v>119</v>
      </c>
      <c r="C37" s="1" t="s">
        <v>134</v>
      </c>
      <c r="D37" s="8"/>
      <c r="E37" s="1"/>
      <c r="F37" s="1"/>
    </row>
    <row r="38" spans="1:6" ht="12.75">
      <c r="A38" s="1">
        <f t="shared" si="1"/>
        <v>24</v>
      </c>
      <c r="B38" s="1" t="s">
        <v>120</v>
      </c>
      <c r="C38" s="1" t="s">
        <v>4</v>
      </c>
      <c r="D38" s="8"/>
      <c r="E38" s="1"/>
      <c r="F38" s="1"/>
    </row>
    <row r="39" spans="1:6" ht="12.75">
      <c r="A39" s="1">
        <f t="shared" si="1"/>
        <v>25</v>
      </c>
      <c r="B39" s="1" t="s">
        <v>121</v>
      </c>
      <c r="C39" s="1" t="s">
        <v>132</v>
      </c>
      <c r="D39" s="8"/>
      <c r="E39" s="1"/>
      <c r="F39" s="1"/>
    </row>
    <row r="40" spans="1:6" ht="12.75">
      <c r="A40" s="1">
        <v>26</v>
      </c>
      <c r="B40" s="1" t="s">
        <v>99</v>
      </c>
      <c r="C40" s="1" t="s">
        <v>134</v>
      </c>
      <c r="D40" s="8"/>
      <c r="E40" s="1"/>
      <c r="F40" s="1"/>
    </row>
    <row r="41" spans="1:6" ht="12.75">
      <c r="A41" s="1">
        <f>A40+1</f>
        <v>27</v>
      </c>
      <c r="B41" s="1" t="s">
        <v>128</v>
      </c>
      <c r="C41" s="1" t="s">
        <v>133</v>
      </c>
      <c r="D41" s="8"/>
      <c r="E41" s="1"/>
      <c r="F41" s="1"/>
    </row>
    <row r="42" spans="1:6" ht="12.75">
      <c r="A42" s="1"/>
      <c r="B42" s="14" t="s">
        <v>217</v>
      </c>
      <c r="C42" s="14"/>
      <c r="D42" s="15"/>
      <c r="E42" s="14"/>
      <c r="F42" s="1"/>
    </row>
    <row r="43" spans="1:6" ht="12.75">
      <c r="A43" s="1" t="s">
        <v>4</v>
      </c>
      <c r="B43" s="12" t="s">
        <v>122</v>
      </c>
      <c r="C43" s="1"/>
      <c r="D43" s="13" t="s">
        <v>817</v>
      </c>
      <c r="E43" s="1"/>
      <c r="F43" s="1"/>
    </row>
    <row r="44" spans="1:6" ht="12.75">
      <c r="A44" s="1">
        <v>28</v>
      </c>
      <c r="B44" s="1" t="s">
        <v>123</v>
      </c>
      <c r="C44" s="1" t="s">
        <v>133</v>
      </c>
      <c r="D44" s="8" t="s">
        <v>353</v>
      </c>
      <c r="E44" s="1"/>
      <c r="F44" s="1"/>
    </row>
    <row r="45" spans="1:6" ht="12.75">
      <c r="A45" s="1">
        <f t="shared" si="1"/>
        <v>29</v>
      </c>
      <c r="B45" s="1" t="s">
        <v>124</v>
      </c>
      <c r="C45" s="1" t="s">
        <v>132</v>
      </c>
      <c r="D45" s="8" t="s">
        <v>816</v>
      </c>
      <c r="E45" s="1"/>
      <c r="F45" s="1"/>
    </row>
    <row r="46" spans="1:6" ht="12.75">
      <c r="A46" s="1">
        <f t="shared" si="1"/>
        <v>30</v>
      </c>
      <c r="B46" s="1" t="s">
        <v>125</v>
      </c>
      <c r="C46" s="1" t="s">
        <v>134</v>
      </c>
      <c r="D46" s="8" t="s">
        <v>808</v>
      </c>
      <c r="E46" s="1"/>
      <c r="F46" s="1" t="s">
        <v>130</v>
      </c>
    </row>
    <row r="47" spans="1:6" ht="12.75">
      <c r="A47" s="1">
        <f t="shared" si="1"/>
        <v>31</v>
      </c>
      <c r="B47" s="1" t="s">
        <v>121</v>
      </c>
      <c r="C47" s="1" t="s">
        <v>132</v>
      </c>
      <c r="D47" s="8" t="s">
        <v>808</v>
      </c>
      <c r="E47" s="1"/>
      <c r="F47" s="1" t="s">
        <v>130</v>
      </c>
    </row>
    <row r="48" spans="1:6" ht="12.75">
      <c r="A48" s="1">
        <f t="shared" si="1"/>
        <v>32</v>
      </c>
      <c r="B48" s="1" t="s">
        <v>126</v>
      </c>
      <c r="C48" s="1" t="s">
        <v>132</v>
      </c>
      <c r="D48" s="8" t="s">
        <v>808</v>
      </c>
      <c r="E48" s="1"/>
      <c r="F48" s="1"/>
    </row>
    <row r="49" spans="1:6" ht="12.75">
      <c r="A49" s="1">
        <f t="shared" si="1"/>
        <v>33</v>
      </c>
      <c r="B49" s="1" t="s">
        <v>127</v>
      </c>
      <c r="C49" s="1" t="s">
        <v>133</v>
      </c>
      <c r="D49" s="8" t="s">
        <v>808</v>
      </c>
      <c r="E49" s="1"/>
      <c r="F49" s="1"/>
    </row>
    <row r="50" spans="1:6" ht="12.75">
      <c r="A50" s="1">
        <f t="shared" si="1"/>
        <v>34</v>
      </c>
      <c r="B50" s="1" t="s">
        <v>229</v>
      </c>
      <c r="C50" s="1"/>
      <c r="D50" s="8" t="s">
        <v>808</v>
      </c>
      <c r="E50" s="1"/>
      <c r="F50" s="1"/>
    </row>
    <row r="51" spans="1:6" ht="12.75">
      <c r="A51" s="1">
        <f t="shared" si="1"/>
        <v>35</v>
      </c>
      <c r="B51" s="1" t="s">
        <v>282</v>
      </c>
      <c r="C51" s="1"/>
      <c r="D51" s="8" t="s">
        <v>806</v>
      </c>
      <c r="E51" s="1"/>
      <c r="F51" s="1"/>
    </row>
    <row r="52" spans="1:6" ht="12.75">
      <c r="A52" s="1"/>
      <c r="B52" s="14" t="s">
        <v>217</v>
      </c>
      <c r="C52" s="14"/>
      <c r="D52" s="15"/>
      <c r="E52" s="14" t="e">
        <f>AVERAGE(E39:E49)</f>
        <v>#DIV/0!</v>
      </c>
      <c r="F52" s="1"/>
    </row>
    <row r="53" spans="2:5" ht="12.75">
      <c r="B53" s="4" t="s">
        <v>216</v>
      </c>
      <c r="E53" s="4" t="e">
        <f>SUM(E3:E52)</f>
        <v>#DIV/0!</v>
      </c>
    </row>
    <row r="54" spans="2:5" ht="12.75">
      <c r="B54" s="4" t="s">
        <v>218</v>
      </c>
      <c r="E54" s="4" t="e">
        <f>E53/38</f>
        <v>#DIV/0!</v>
      </c>
    </row>
    <row r="56" ht="12.75">
      <c r="B56" s="16"/>
    </row>
    <row r="57" ht="12.75">
      <c r="B57" s="4" t="s">
        <v>148</v>
      </c>
    </row>
    <row r="58" ht="12.75">
      <c r="B58" s="4" t="s">
        <v>147</v>
      </c>
    </row>
    <row r="59" ht="12.75">
      <c r="B59" s="4" t="s">
        <v>149</v>
      </c>
    </row>
    <row r="61" ht="12.75">
      <c r="B61" s="4" t="s">
        <v>150</v>
      </c>
    </row>
    <row r="62" ht="12.75">
      <c r="B62" s="4" t="s">
        <v>151</v>
      </c>
    </row>
    <row r="63" ht="12.75">
      <c r="B63" s="4" t="s">
        <v>152</v>
      </c>
    </row>
    <row r="65" ht="12.75">
      <c r="B65" s="4" t="s">
        <v>259</v>
      </c>
    </row>
    <row r="67" ht="12.75">
      <c r="A67" s="4" t="s">
        <v>4</v>
      </c>
    </row>
    <row r="69" ht="12.75">
      <c r="B69" s="4" t="s">
        <v>303</v>
      </c>
    </row>
    <row r="70" spans="1:5" ht="12.75">
      <c r="A70" s="1"/>
      <c r="B70" s="1" t="s">
        <v>304</v>
      </c>
      <c r="C70" s="1" t="s">
        <v>822</v>
      </c>
      <c r="D70" s="1" t="s">
        <v>305</v>
      </c>
      <c r="E70" s="1"/>
    </row>
    <row r="71" spans="1:5" ht="12.75">
      <c r="A71" s="1"/>
      <c r="B71" s="1" t="s">
        <v>818</v>
      </c>
      <c r="C71" s="1">
        <v>0.1</v>
      </c>
      <c r="D71" s="1" t="s">
        <v>823</v>
      </c>
      <c r="E71" s="1"/>
    </row>
    <row r="72" spans="1:5" ht="12.75">
      <c r="A72" s="1"/>
      <c r="B72" s="1" t="s">
        <v>819</v>
      </c>
      <c r="C72" s="1"/>
      <c r="D72" s="1" t="s">
        <v>824</v>
      </c>
      <c r="E72" s="1"/>
    </row>
    <row r="73" spans="1:7" ht="12.75">
      <c r="A73" s="1"/>
      <c r="B73" s="1" t="s">
        <v>820</v>
      </c>
      <c r="C73" s="1"/>
      <c r="D73" s="1" t="s">
        <v>825</v>
      </c>
      <c r="E73" s="1"/>
      <c r="G73" s="4" t="s">
        <v>4</v>
      </c>
    </row>
    <row r="74" spans="1:5" ht="12.75">
      <c r="A74" s="1"/>
      <c r="B74" s="1" t="s">
        <v>821</v>
      </c>
      <c r="C74" s="1"/>
      <c r="D74" s="1" t="s">
        <v>826</v>
      </c>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sheetData>
  <sheetProtection/>
  <printOptions gridLines="1"/>
  <pageMargins left="0.75" right="0.75" top="1" bottom="1" header="0.5" footer="0.5"/>
  <pageSetup horizontalDpi="600" verticalDpi="600" orientation="landscape" paperSize="9" scale="85" r:id="rId3"/>
  <legacyDrawing r:id="rId2"/>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875" defaultRowHeight="13.5"/>
  <cols>
    <col min="1" max="1" width="17.75390625" style="4" customWidth="1"/>
    <col min="2" max="2" width="7.375" style="4" bestFit="1" customWidth="1"/>
    <col min="3" max="3" width="6.875" style="4" bestFit="1" customWidth="1"/>
    <col min="4" max="4" width="4.125" style="4" bestFit="1" customWidth="1"/>
    <col min="5" max="5" width="4.25390625" style="4" bestFit="1" customWidth="1"/>
    <col min="6" max="6" width="6.875" style="4" bestFit="1" customWidth="1"/>
    <col min="7" max="7" width="9.00390625" style="4" bestFit="1" customWidth="1"/>
    <col min="8" max="8" width="7.125" style="4" bestFit="1" customWidth="1"/>
    <col min="9" max="9" width="9.00390625" style="4" customWidth="1"/>
    <col min="10" max="10" width="8.375" style="4" bestFit="1" customWidth="1"/>
    <col min="11" max="11" width="8.25390625" style="4" bestFit="1" customWidth="1"/>
    <col min="12" max="12" width="7.25390625" style="4" bestFit="1" customWidth="1"/>
    <col min="13" max="13" width="6.875" style="4" bestFit="1" customWidth="1"/>
    <col min="14" max="14" width="6.75390625" style="4" bestFit="1" customWidth="1"/>
    <col min="15" max="15" width="7.25390625" style="4" bestFit="1" customWidth="1"/>
    <col min="16" max="16" width="8.625" style="4" bestFit="1" customWidth="1"/>
    <col min="17" max="17" width="5.875" style="4" customWidth="1"/>
    <col min="18" max="18" width="8.75390625" style="4" bestFit="1" customWidth="1"/>
    <col min="19" max="19" width="26.50390625" style="4" customWidth="1"/>
    <col min="20" max="16384" width="8.875" style="4" customWidth="1"/>
  </cols>
  <sheetData>
    <row r="1" ht="12.75">
      <c r="A1" s="4" t="s">
        <v>599</v>
      </c>
    </row>
    <row r="2" spans="2:19" ht="12.75">
      <c r="B2" s="245" t="s">
        <v>600</v>
      </c>
      <c r="C2" s="245"/>
      <c r="D2" s="245"/>
      <c r="E2" s="245"/>
      <c r="F2" s="245"/>
      <c r="G2" s="245"/>
      <c r="H2" s="245"/>
      <c r="I2" s="245"/>
      <c r="J2" s="245"/>
      <c r="K2" s="245"/>
      <c r="L2" s="245"/>
      <c r="M2" s="245"/>
      <c r="N2" s="245"/>
      <c r="O2" s="245"/>
      <c r="P2" s="245"/>
      <c r="Q2" s="245"/>
      <c r="R2" s="245"/>
      <c r="S2" s="245"/>
    </row>
    <row r="3" spans="1:21" ht="38.25">
      <c r="A3" s="155" t="s">
        <v>370</v>
      </c>
      <c r="B3" s="155" t="s">
        <v>380</v>
      </c>
      <c r="C3" s="155" t="s">
        <v>29</v>
      </c>
      <c r="D3" s="155" t="s">
        <v>378</v>
      </c>
      <c r="E3" s="155" t="s">
        <v>371</v>
      </c>
      <c r="F3" s="155" t="s">
        <v>376</v>
      </c>
      <c r="G3" s="155" t="s">
        <v>377</v>
      </c>
      <c r="H3" s="155" t="s">
        <v>738</v>
      </c>
      <c r="I3" s="155" t="s">
        <v>739</v>
      </c>
      <c r="J3" s="155" t="s">
        <v>381</v>
      </c>
      <c r="K3" s="155" t="s">
        <v>374</v>
      </c>
      <c r="L3" s="155" t="s">
        <v>373</v>
      </c>
      <c r="M3" s="155" t="s">
        <v>86</v>
      </c>
      <c r="N3" s="155" t="s">
        <v>372</v>
      </c>
      <c r="O3" s="155" t="s">
        <v>440</v>
      </c>
      <c r="P3" s="155" t="s">
        <v>618</v>
      </c>
      <c r="Q3" s="155" t="s">
        <v>619</v>
      </c>
      <c r="R3" s="155" t="s">
        <v>375</v>
      </c>
      <c r="S3" s="155" t="s">
        <v>379</v>
      </c>
      <c r="T3" s="19"/>
      <c r="U3" s="19"/>
    </row>
    <row r="4" spans="1:19" ht="38.25">
      <c r="A4" s="71" t="s">
        <v>827</v>
      </c>
      <c r="B4" s="134">
        <v>0.14</v>
      </c>
      <c r="C4" s="134">
        <v>0.08</v>
      </c>
      <c r="D4" s="134">
        <v>0.16</v>
      </c>
      <c r="E4" s="71">
        <v>1.2</v>
      </c>
      <c r="F4" s="71">
        <v>1.3</v>
      </c>
      <c r="G4" s="71">
        <v>3</v>
      </c>
      <c r="H4" s="71">
        <v>11.5</v>
      </c>
      <c r="I4" s="71">
        <v>3</v>
      </c>
      <c r="J4" s="134">
        <v>0.06</v>
      </c>
      <c r="K4" s="71">
        <v>4450</v>
      </c>
      <c r="L4" s="71">
        <v>302</v>
      </c>
      <c r="M4" s="134">
        <v>0.14</v>
      </c>
      <c r="N4" s="134">
        <v>0.1</v>
      </c>
      <c r="O4" s="134"/>
      <c r="P4" s="118">
        <f>4900/830</f>
        <v>5.903614457831325</v>
      </c>
      <c r="Q4" s="71">
        <v>8</v>
      </c>
      <c r="R4" s="71"/>
      <c r="S4" s="71" t="s">
        <v>838</v>
      </c>
    </row>
    <row r="5" spans="1:19" ht="38.25">
      <c r="A5" s="71" t="s">
        <v>828</v>
      </c>
      <c r="B5" s="134">
        <v>0.13</v>
      </c>
      <c r="C5" s="134">
        <v>0.04</v>
      </c>
      <c r="D5" s="134">
        <v>0.13</v>
      </c>
      <c r="E5" s="71">
        <v>1.3</v>
      </c>
      <c r="F5" s="71">
        <v>1.5</v>
      </c>
      <c r="G5" s="71">
        <v>6</v>
      </c>
      <c r="H5" s="71">
        <v>7</v>
      </c>
      <c r="I5" s="71">
        <v>28</v>
      </c>
      <c r="J5" s="134">
        <v>0.03</v>
      </c>
      <c r="K5" s="71">
        <v>2100</v>
      </c>
      <c r="L5" s="71">
        <v>75</v>
      </c>
      <c r="M5" s="134">
        <v>0.1</v>
      </c>
      <c r="N5" s="134">
        <v>0.03</v>
      </c>
      <c r="O5" s="134"/>
      <c r="P5" s="71">
        <f>1800/250</f>
        <v>7.2</v>
      </c>
      <c r="Q5" s="71">
        <v>10</v>
      </c>
      <c r="R5" s="71"/>
      <c r="S5" s="71" t="s">
        <v>837</v>
      </c>
    </row>
    <row r="6" spans="1:19" ht="38.25">
      <c r="A6" s="71" t="s">
        <v>829</v>
      </c>
      <c r="B6" s="134">
        <v>0.14</v>
      </c>
      <c r="C6" s="134">
        <v>0.06</v>
      </c>
      <c r="D6" s="134">
        <v>0.11</v>
      </c>
      <c r="E6" s="71">
        <v>0.8</v>
      </c>
      <c r="F6" s="71">
        <v>1.3</v>
      </c>
      <c r="G6" s="71">
        <v>4</v>
      </c>
      <c r="H6" s="71">
        <v>5</v>
      </c>
      <c r="I6" s="71">
        <v>5</v>
      </c>
      <c r="J6" s="134">
        <v>0.06</v>
      </c>
      <c r="K6" s="71">
        <v>1550</v>
      </c>
      <c r="L6" s="71">
        <v>92</v>
      </c>
      <c r="M6" s="134">
        <v>0.15</v>
      </c>
      <c r="N6" s="134">
        <v>0</v>
      </c>
      <c r="O6" s="134"/>
      <c r="P6" s="118">
        <f>1600/240</f>
        <v>6.666666666666667</v>
      </c>
      <c r="Q6" s="71">
        <v>14</v>
      </c>
      <c r="R6" s="71"/>
      <c r="S6" s="71" t="s">
        <v>839</v>
      </c>
    </row>
    <row r="7" spans="1:19" ht="51">
      <c r="A7" s="71" t="s">
        <v>830</v>
      </c>
      <c r="B7" s="134">
        <v>0.22</v>
      </c>
      <c r="C7" s="134">
        <v>0.07</v>
      </c>
      <c r="D7" s="134">
        <v>0.14</v>
      </c>
      <c r="E7" s="71">
        <v>0.3</v>
      </c>
      <c r="F7" s="71">
        <v>3</v>
      </c>
      <c r="G7" s="71">
        <v>10</v>
      </c>
      <c r="H7" s="71">
        <v>5</v>
      </c>
      <c r="I7" s="71">
        <v>6.2</v>
      </c>
      <c r="J7" s="134">
        <v>0.07</v>
      </c>
      <c r="K7" s="71">
        <v>415</v>
      </c>
      <c r="L7" s="71">
        <v>32</v>
      </c>
      <c r="M7" s="134">
        <v>0.35</v>
      </c>
      <c r="N7" s="134">
        <v>0.25</v>
      </c>
      <c r="O7" s="134"/>
      <c r="P7" s="71">
        <v>10</v>
      </c>
      <c r="Q7" s="71">
        <v>19</v>
      </c>
      <c r="R7" s="71"/>
      <c r="S7" s="71" t="s">
        <v>840</v>
      </c>
    </row>
    <row r="8" spans="1:19" ht="12.75">
      <c r="A8" s="71" t="s">
        <v>4</v>
      </c>
      <c r="B8" s="134"/>
      <c r="C8" s="134"/>
      <c r="D8" s="134"/>
      <c r="E8" s="71"/>
      <c r="F8" s="71"/>
      <c r="G8" s="71"/>
      <c r="H8" s="71"/>
      <c r="I8" s="71"/>
      <c r="J8" s="71"/>
      <c r="K8" s="71"/>
      <c r="L8" s="71"/>
      <c r="M8" s="134"/>
      <c r="N8" s="134"/>
      <c r="O8" s="134"/>
      <c r="P8" s="71"/>
      <c r="Q8" s="71"/>
      <c r="R8" s="71"/>
      <c r="S8" s="71"/>
    </row>
    <row r="9" spans="1:19" ht="12.75">
      <c r="A9" s="71"/>
      <c r="B9" s="134"/>
      <c r="C9" s="134"/>
      <c r="D9" s="134"/>
      <c r="E9" s="71"/>
      <c r="F9" s="71"/>
      <c r="G9" s="71"/>
      <c r="H9" s="71"/>
      <c r="I9" s="71"/>
      <c r="J9" s="71"/>
      <c r="K9" s="71"/>
      <c r="L9" s="71"/>
      <c r="M9" s="134"/>
      <c r="N9" s="134"/>
      <c r="O9" s="134"/>
      <c r="P9" s="71"/>
      <c r="Q9" s="71"/>
      <c r="R9" s="71"/>
      <c r="S9" s="71"/>
    </row>
    <row r="10" spans="1:19" ht="12.75">
      <c r="A10" s="71"/>
      <c r="B10" s="134"/>
      <c r="C10" s="134"/>
      <c r="D10" s="134"/>
      <c r="E10" s="71"/>
      <c r="F10" s="71"/>
      <c r="G10" s="71"/>
      <c r="H10" s="71"/>
      <c r="I10" s="71"/>
      <c r="J10" s="71"/>
      <c r="K10" s="71"/>
      <c r="L10" s="71"/>
      <c r="M10" s="134"/>
      <c r="N10" s="134"/>
      <c r="O10" s="134"/>
      <c r="P10" s="71"/>
      <c r="Q10" s="71"/>
      <c r="R10" s="71"/>
      <c r="S10" s="71"/>
    </row>
    <row r="11" spans="1:19" ht="12.75">
      <c r="A11" s="71"/>
      <c r="B11" s="134"/>
      <c r="C11" s="134"/>
      <c r="D11" s="134"/>
      <c r="E11" s="71"/>
      <c r="F11" s="71"/>
      <c r="G11" s="71"/>
      <c r="H11" s="71"/>
      <c r="I11" s="71"/>
      <c r="J11" s="71"/>
      <c r="K11" s="71"/>
      <c r="L11" s="71"/>
      <c r="M11" s="134"/>
      <c r="N11" s="134"/>
      <c r="O11" s="134"/>
      <c r="P11" s="71"/>
      <c r="Q11" s="71"/>
      <c r="R11" s="71"/>
      <c r="S11" s="71"/>
    </row>
    <row r="12" spans="1:19" ht="12.75">
      <c r="A12" s="71"/>
      <c r="B12" s="134"/>
      <c r="C12" s="134"/>
      <c r="D12" s="134"/>
      <c r="E12" s="71"/>
      <c r="F12" s="71"/>
      <c r="G12" s="71"/>
      <c r="H12" s="71"/>
      <c r="I12" s="71"/>
      <c r="J12" s="71"/>
      <c r="K12" s="71"/>
      <c r="L12" s="71"/>
      <c r="M12" s="134"/>
      <c r="N12" s="134"/>
      <c r="O12" s="134"/>
      <c r="P12" s="71"/>
      <c r="Q12" s="71"/>
      <c r="R12" s="71"/>
      <c r="S12" s="71"/>
    </row>
    <row r="13" spans="1:19" ht="12.75">
      <c r="A13" s="71"/>
      <c r="B13" s="134"/>
      <c r="C13" s="134"/>
      <c r="D13" s="134"/>
      <c r="E13" s="71"/>
      <c r="F13" s="71"/>
      <c r="G13" s="71"/>
      <c r="H13" s="71"/>
      <c r="I13" s="71"/>
      <c r="J13" s="71"/>
      <c r="K13" s="71"/>
      <c r="L13" s="71"/>
      <c r="M13" s="134"/>
      <c r="N13" s="134"/>
      <c r="O13" s="134"/>
      <c r="P13" s="71"/>
      <c r="Q13" s="71"/>
      <c r="R13" s="71"/>
      <c r="S13" s="71"/>
    </row>
    <row r="14" spans="1:19" ht="12.75">
      <c r="A14" s="71"/>
      <c r="B14" s="134"/>
      <c r="C14" s="134"/>
      <c r="D14" s="134"/>
      <c r="E14" s="71"/>
      <c r="F14" s="71"/>
      <c r="G14" s="71"/>
      <c r="H14" s="71"/>
      <c r="I14" s="71"/>
      <c r="J14" s="71"/>
      <c r="K14" s="71"/>
      <c r="L14" s="71"/>
      <c r="M14" s="134"/>
      <c r="N14" s="134"/>
      <c r="O14" s="134"/>
      <c r="P14" s="134"/>
      <c r="Q14" s="71"/>
      <c r="R14" s="71"/>
      <c r="S14" s="71"/>
    </row>
    <row r="15" spans="1:19" ht="12.75">
      <c r="A15" s="71"/>
      <c r="B15" s="134"/>
      <c r="C15" s="134"/>
      <c r="D15" s="134"/>
      <c r="E15" s="71"/>
      <c r="F15" s="71"/>
      <c r="G15" s="71"/>
      <c r="H15" s="71"/>
      <c r="I15" s="71"/>
      <c r="J15" s="71"/>
      <c r="K15" s="71"/>
      <c r="L15" s="71"/>
      <c r="M15" s="134"/>
      <c r="N15" s="134"/>
      <c r="O15" s="134"/>
      <c r="P15" s="134"/>
      <c r="Q15" s="134"/>
      <c r="R15" s="71"/>
      <c r="S15" s="71"/>
    </row>
    <row r="18" ht="12.75">
      <c r="B18" s="4" t="s">
        <v>612</v>
      </c>
    </row>
    <row r="19" spans="1:10" ht="12.75">
      <c r="A19" s="1" t="s">
        <v>613</v>
      </c>
      <c r="B19" s="246" t="s">
        <v>450</v>
      </c>
      <c r="C19" s="246"/>
      <c r="D19" s="246"/>
      <c r="E19" s="246"/>
      <c r="F19" s="246"/>
      <c r="G19" s="246"/>
      <c r="H19" s="246"/>
      <c r="I19" s="246"/>
      <c r="J19" s="246"/>
    </row>
    <row r="20" spans="1:10" ht="12.75">
      <c r="A20" s="1" t="s">
        <v>614</v>
      </c>
      <c r="B20" s="205" t="s">
        <v>831</v>
      </c>
      <c r="C20" s="205"/>
      <c r="D20" s="205"/>
      <c r="E20" s="205"/>
      <c r="F20" s="205"/>
      <c r="G20" s="205"/>
      <c r="H20" s="205"/>
      <c r="I20" s="205"/>
      <c r="J20" s="205"/>
    </row>
    <row r="21" spans="1:10" ht="12.75">
      <c r="A21" s="1" t="s">
        <v>615</v>
      </c>
      <c r="B21" s="205" t="s">
        <v>832</v>
      </c>
      <c r="C21" s="205"/>
      <c r="D21" s="205"/>
      <c r="E21" s="205"/>
      <c r="F21" s="205"/>
      <c r="G21" s="205"/>
      <c r="H21" s="205"/>
      <c r="I21" s="205"/>
      <c r="J21" s="205"/>
    </row>
    <row r="22" spans="1:10" ht="12.75">
      <c r="A22" s="1" t="s">
        <v>616</v>
      </c>
      <c r="B22" s="205" t="s">
        <v>833</v>
      </c>
      <c r="C22" s="205"/>
      <c r="D22" s="205"/>
      <c r="E22" s="205"/>
      <c r="F22" s="205"/>
      <c r="G22" s="205"/>
      <c r="H22" s="205"/>
      <c r="I22" s="205"/>
      <c r="J22" s="205"/>
    </row>
    <row r="23" spans="1:10" ht="12.75">
      <c r="A23" s="1" t="s">
        <v>380</v>
      </c>
      <c r="B23" s="205" t="s">
        <v>834</v>
      </c>
      <c r="C23" s="205"/>
      <c r="D23" s="205"/>
      <c r="E23" s="205"/>
      <c r="F23" s="205"/>
      <c r="G23" s="205"/>
      <c r="H23" s="205"/>
      <c r="I23" s="205"/>
      <c r="J23" s="205"/>
    </row>
    <row r="24" spans="1:10" ht="12.75">
      <c r="A24" s="1" t="s">
        <v>617</v>
      </c>
      <c r="B24" s="205" t="s">
        <v>835</v>
      </c>
      <c r="C24" s="205"/>
      <c r="D24" s="205"/>
      <c r="E24" s="205"/>
      <c r="F24" s="205"/>
      <c r="G24" s="205"/>
      <c r="H24" s="205"/>
      <c r="I24" s="205"/>
      <c r="J24" s="205"/>
    </row>
    <row r="25" spans="1:10" ht="12.75">
      <c r="A25" s="1" t="s">
        <v>319</v>
      </c>
      <c r="B25" s="205" t="s">
        <v>835</v>
      </c>
      <c r="C25" s="205"/>
      <c r="D25" s="205"/>
      <c r="E25" s="205"/>
      <c r="F25" s="205"/>
      <c r="G25" s="205"/>
      <c r="H25" s="205"/>
      <c r="I25" s="205"/>
      <c r="J25" s="205"/>
    </row>
    <row r="26" spans="1:10" ht="12.75">
      <c r="A26" s="1" t="s">
        <v>618</v>
      </c>
      <c r="B26" s="205" t="s">
        <v>836</v>
      </c>
      <c r="C26" s="205"/>
      <c r="D26" s="205"/>
      <c r="E26" s="205"/>
      <c r="F26" s="205"/>
      <c r="G26" s="205"/>
      <c r="H26" s="205"/>
      <c r="I26" s="205"/>
      <c r="J26" s="205"/>
    </row>
    <row r="30" spans="7:11" ht="45" customHeight="1">
      <c r="G30" s="2"/>
      <c r="H30" s="2"/>
      <c r="I30" s="2"/>
      <c r="J30" s="2"/>
      <c r="K30" s="2"/>
    </row>
    <row r="31" spans="7:11" ht="12.75" customHeight="1">
      <c r="G31" s="2"/>
      <c r="H31" s="2"/>
      <c r="I31" s="2"/>
      <c r="J31" s="2"/>
      <c r="K31" s="2"/>
    </row>
    <row r="32" spans="7:11" ht="12.75" customHeight="1">
      <c r="G32" s="2"/>
      <c r="H32" s="2"/>
      <c r="I32" s="2"/>
      <c r="J32" s="2"/>
      <c r="K32" s="2"/>
    </row>
    <row r="33" spans="7:11" ht="12.75" customHeight="1">
      <c r="G33" s="2"/>
      <c r="H33" s="2"/>
      <c r="I33" s="2"/>
      <c r="J33" s="2"/>
      <c r="K33" s="2"/>
    </row>
    <row r="34" spans="7:11" ht="12.75" customHeight="1">
      <c r="G34" s="2"/>
      <c r="H34" s="2"/>
      <c r="I34" s="2"/>
      <c r="J34" s="2"/>
      <c r="K34" s="2"/>
    </row>
    <row r="35" spans="7:11" ht="12.75" customHeight="1">
      <c r="G35" s="2"/>
      <c r="H35" s="2"/>
      <c r="I35" s="2"/>
      <c r="J35" s="2"/>
      <c r="K35" s="2"/>
    </row>
    <row r="36" spans="7:11" ht="12.75" customHeight="1">
      <c r="G36" s="2"/>
      <c r="H36" s="2"/>
      <c r="I36" s="2"/>
      <c r="J36" s="2"/>
      <c r="K36" s="2"/>
    </row>
    <row r="37" spans="7:11" ht="12.75" customHeight="1">
      <c r="G37" s="2"/>
      <c r="H37" s="2"/>
      <c r="I37" s="2"/>
      <c r="J37" s="2"/>
      <c r="K37" s="2"/>
    </row>
    <row r="38" spans="7:11" ht="12.75">
      <c r="G38" s="2"/>
      <c r="H38" s="2"/>
      <c r="I38" s="2"/>
      <c r="J38" s="2"/>
      <c r="K38" s="2"/>
    </row>
    <row r="39" spans="6:11" ht="12.75">
      <c r="F39" s="2"/>
      <c r="G39" s="2"/>
      <c r="H39" s="2"/>
      <c r="I39" s="2"/>
      <c r="J39" s="2"/>
      <c r="K39" s="2"/>
    </row>
  </sheetData>
  <sheetProtection/>
  <mergeCells count="9">
    <mergeCell ref="B2:S2"/>
    <mergeCell ref="B19:J19"/>
    <mergeCell ref="B26:J26"/>
    <mergeCell ref="B20:J20"/>
    <mergeCell ref="B21:J21"/>
    <mergeCell ref="B22:J22"/>
    <mergeCell ref="B23:J23"/>
    <mergeCell ref="B24:J24"/>
    <mergeCell ref="B25:J25"/>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I176"/>
  <sheetViews>
    <sheetView zoomScalePageLayoutView="0" workbookViewId="0" topLeftCell="A1">
      <selection activeCell="A14" sqref="A14"/>
    </sheetView>
  </sheetViews>
  <sheetFormatPr defaultColWidth="9.125" defaultRowHeight="13.5"/>
  <cols>
    <col min="1" max="1" width="75.125" style="4" customWidth="1"/>
    <col min="2" max="2" width="84.875" style="4" customWidth="1"/>
    <col min="3" max="16384" width="9.125" style="4" customWidth="1"/>
  </cols>
  <sheetData>
    <row r="1" spans="1:2" ht="12.75">
      <c r="A1" s="17" t="s">
        <v>226</v>
      </c>
      <c r="B1" s="4" t="s">
        <v>135</v>
      </c>
    </row>
    <row r="2" spans="1:2" ht="12.75">
      <c r="A2" s="17"/>
      <c r="B2" s="4" t="s">
        <v>313</v>
      </c>
    </row>
    <row r="3" spans="1:2" ht="14.25">
      <c r="A3" s="95" t="s">
        <v>503</v>
      </c>
      <c r="B3" s="8"/>
    </row>
    <row r="4" spans="1:2" ht="38.25">
      <c r="A4" s="71" t="s">
        <v>364</v>
      </c>
      <c r="B4" s="147" t="s">
        <v>841</v>
      </c>
    </row>
    <row r="5" spans="1:2" ht="38.25">
      <c r="A5" s="71" t="s">
        <v>365</v>
      </c>
      <c r="B5" s="147" t="s">
        <v>842</v>
      </c>
    </row>
    <row r="6" spans="1:2" ht="63.75">
      <c r="A6" s="147" t="s">
        <v>649</v>
      </c>
      <c r="B6" s="147" t="s">
        <v>843</v>
      </c>
    </row>
    <row r="7" spans="1:2" ht="38.25">
      <c r="A7" s="147" t="s">
        <v>647</v>
      </c>
      <c r="B7" s="147" t="s">
        <v>844</v>
      </c>
    </row>
    <row r="8" spans="1:2" ht="25.5">
      <c r="A8" s="71" t="s">
        <v>366</v>
      </c>
      <c r="B8" s="147" t="s">
        <v>761</v>
      </c>
    </row>
    <row r="9" spans="1:2" ht="12.75">
      <c r="A9" s="71" t="s">
        <v>178</v>
      </c>
      <c r="B9" s="147" t="s">
        <v>343</v>
      </c>
    </row>
    <row r="10" spans="1:2" ht="25.5">
      <c r="A10" s="147" t="s">
        <v>263</v>
      </c>
      <c r="B10" s="147" t="s">
        <v>845</v>
      </c>
    </row>
    <row r="11" spans="1:2" ht="25.5">
      <c r="A11" s="147" t="s">
        <v>209</v>
      </c>
      <c r="B11" s="147" t="s">
        <v>846</v>
      </c>
    </row>
    <row r="12" spans="1:2" ht="12.75">
      <c r="A12" s="147" t="s">
        <v>367</v>
      </c>
      <c r="B12" s="147" t="s">
        <v>847</v>
      </c>
    </row>
    <row r="13" spans="1:2" ht="25.5">
      <c r="A13" s="147" t="s">
        <v>369</v>
      </c>
      <c r="B13" s="161" t="s">
        <v>343</v>
      </c>
    </row>
    <row r="14" spans="1:2" ht="25.5">
      <c r="A14" s="147" t="s">
        <v>415</v>
      </c>
      <c r="B14" s="161" t="s">
        <v>848</v>
      </c>
    </row>
    <row r="15" spans="1:2" ht="38.25">
      <c r="A15" s="147" t="s">
        <v>585</v>
      </c>
      <c r="B15" s="147" t="s">
        <v>850</v>
      </c>
    </row>
    <row r="16" spans="1:2" ht="25.5">
      <c r="A16" s="71" t="s">
        <v>582</v>
      </c>
      <c r="B16" s="2" t="s">
        <v>849</v>
      </c>
    </row>
    <row r="17" ht="12.75"/>
    <row r="18" ht="14.25">
      <c r="A18" s="95" t="s">
        <v>504</v>
      </c>
    </row>
    <row r="19" spans="1:2" ht="12.75">
      <c r="A19" s="71" t="s">
        <v>506</v>
      </c>
      <c r="B19" s="1" t="s">
        <v>343</v>
      </c>
    </row>
    <row r="20" spans="1:2" ht="12.75">
      <c r="A20" s="71" t="s">
        <v>505</v>
      </c>
      <c r="B20" s="1" t="s">
        <v>851</v>
      </c>
    </row>
    <row r="21" spans="1:2" ht="12.75">
      <c r="A21" s="71" t="s">
        <v>507</v>
      </c>
      <c r="B21" s="1" t="s">
        <v>761</v>
      </c>
    </row>
    <row r="22" spans="1:2" ht="12.75">
      <c r="A22" s="71" t="s">
        <v>508</v>
      </c>
      <c r="B22" s="1" t="s">
        <v>761</v>
      </c>
    </row>
    <row r="23" spans="1:2" ht="25.5">
      <c r="A23" s="71" t="s">
        <v>509</v>
      </c>
      <c r="B23" s="1" t="s">
        <v>852</v>
      </c>
    </row>
    <row r="24" spans="1:2" ht="12.75">
      <c r="A24" s="156" t="s">
        <v>659</v>
      </c>
      <c r="B24" s="1" t="s">
        <v>145</v>
      </c>
    </row>
    <row r="25" spans="1:2" ht="25.5">
      <c r="A25" s="8" t="s">
        <v>383</v>
      </c>
      <c r="B25" s="1"/>
    </row>
    <row r="26" spans="1:2" ht="51">
      <c r="A26" s="8" t="s">
        <v>656</v>
      </c>
      <c r="B26" s="1"/>
    </row>
    <row r="27" spans="1:2" ht="63.75">
      <c r="A27" s="8" t="s">
        <v>657</v>
      </c>
      <c r="B27" s="1"/>
    </row>
    <row r="28" spans="1:2" ht="38.25">
      <c r="A28" s="8" t="s">
        <v>658</v>
      </c>
      <c r="B28" s="1"/>
    </row>
    <row r="29" spans="1:2" ht="12.75">
      <c r="A29" s="1" t="s">
        <v>510</v>
      </c>
      <c r="B29" s="1"/>
    </row>
    <row r="30" ht="12.75">
      <c r="B30" s="1"/>
    </row>
    <row r="31" spans="1:2" ht="14.25">
      <c r="A31" s="95" t="s">
        <v>363</v>
      </c>
      <c r="B31" s="8"/>
    </row>
    <row r="32" spans="1:2" ht="12.75">
      <c r="A32" s="8" t="s">
        <v>382</v>
      </c>
      <c r="B32" s="8" t="s">
        <v>853</v>
      </c>
    </row>
    <row r="33" spans="1:2" ht="12.75">
      <c r="A33" s="8" t="s">
        <v>384</v>
      </c>
      <c r="B33" s="8" t="s">
        <v>854</v>
      </c>
    </row>
    <row r="34" spans="1:2" ht="12.75">
      <c r="A34" s="8" t="s">
        <v>192</v>
      </c>
      <c r="B34" s="8" t="s">
        <v>761</v>
      </c>
    </row>
    <row r="35" spans="1:2" ht="12.75">
      <c r="A35" s="8" t="s">
        <v>362</v>
      </c>
      <c r="B35" s="8" t="s">
        <v>855</v>
      </c>
    </row>
    <row r="36" spans="1:2" ht="12.75">
      <c r="A36" s="8" t="s">
        <v>225</v>
      </c>
      <c r="B36" s="8" t="s">
        <v>343</v>
      </c>
    </row>
    <row r="37" spans="1:2" ht="12.75">
      <c r="A37" s="8" t="s">
        <v>174</v>
      </c>
      <c r="B37" s="8" t="s">
        <v>761</v>
      </c>
    </row>
    <row r="38" spans="1:2" ht="12.75">
      <c r="A38" s="8" t="s">
        <v>247</v>
      </c>
      <c r="B38" s="8" t="s">
        <v>856</v>
      </c>
    </row>
    <row r="39" spans="1:2" ht="63.75">
      <c r="A39" s="8" t="s">
        <v>208</v>
      </c>
      <c r="B39" s="8" t="s">
        <v>857</v>
      </c>
    </row>
    <row r="40" spans="1:2" ht="25.5">
      <c r="A40" s="8" t="s">
        <v>385</v>
      </c>
      <c r="B40" s="8" t="s">
        <v>858</v>
      </c>
    </row>
    <row r="41" spans="1:2" ht="25.5">
      <c r="A41" s="8" t="s">
        <v>386</v>
      </c>
      <c r="B41" s="8" t="s">
        <v>859</v>
      </c>
    </row>
    <row r="42" spans="1:2" ht="12.75">
      <c r="A42" s="8" t="s">
        <v>389</v>
      </c>
      <c r="B42" s="8" t="s">
        <v>860</v>
      </c>
    </row>
    <row r="43" spans="1:2" ht="12.75">
      <c r="A43" s="8" t="s">
        <v>581</v>
      </c>
      <c r="B43" s="8" t="s">
        <v>861</v>
      </c>
    </row>
    <row r="44" spans="1:2" ht="12.75">
      <c r="A44" s="8" t="s">
        <v>4</v>
      </c>
      <c r="B44" s="8"/>
    </row>
    <row r="45" ht="12.75">
      <c r="B45" s="2"/>
    </row>
    <row r="46" ht="12.75">
      <c r="B46" s="2"/>
    </row>
    <row r="47" spans="1:2" ht="14.25">
      <c r="A47" s="95" t="s">
        <v>284</v>
      </c>
      <c r="B47" s="17"/>
    </row>
    <row r="48" spans="1:5" ht="12.75">
      <c r="A48" s="84" t="s">
        <v>153</v>
      </c>
      <c r="B48" s="8" t="s">
        <v>343</v>
      </c>
      <c r="E48" s="4" t="s">
        <v>4</v>
      </c>
    </row>
    <row r="49" spans="1:2" ht="12.75">
      <c r="A49" s="84" t="s">
        <v>154</v>
      </c>
      <c r="B49" s="8" t="s">
        <v>862</v>
      </c>
    </row>
    <row r="50" spans="1:2" ht="12.75">
      <c r="A50" s="84" t="s">
        <v>137</v>
      </c>
      <c r="B50" s="8" t="s">
        <v>808</v>
      </c>
    </row>
    <row r="51" spans="1:2" ht="12.75">
      <c r="A51" s="84" t="s">
        <v>136</v>
      </c>
      <c r="B51" s="8" t="s">
        <v>863</v>
      </c>
    </row>
    <row r="52" spans="1:2" ht="25.5">
      <c r="A52" s="84" t="s">
        <v>584</v>
      </c>
      <c r="B52" s="8" t="s">
        <v>864</v>
      </c>
    </row>
    <row r="53" ht="12.75">
      <c r="B53" s="2"/>
    </row>
    <row r="54" ht="12.75">
      <c r="B54" s="2"/>
    </row>
    <row r="55" ht="14.25">
      <c r="A55" s="94" t="s">
        <v>227</v>
      </c>
    </row>
    <row r="56" spans="1:2" ht="12.75">
      <c r="A56" s="8" t="s">
        <v>228</v>
      </c>
      <c r="B56" s="1" t="s">
        <v>865</v>
      </c>
    </row>
    <row r="57" spans="1:2" ht="12.75">
      <c r="A57" s="8" t="s">
        <v>239</v>
      </c>
      <c r="B57" s="1" t="s">
        <v>761</v>
      </c>
    </row>
    <row r="58" spans="1:2" ht="25.5">
      <c r="A58" s="8" t="s">
        <v>368</v>
      </c>
      <c r="B58" s="1" t="s">
        <v>865</v>
      </c>
    </row>
    <row r="59" spans="1:2" ht="12.75">
      <c r="A59" s="8" t="s">
        <v>451</v>
      </c>
      <c r="B59" s="1" t="s">
        <v>866</v>
      </c>
    </row>
    <row r="60" spans="1:2" ht="12.75">
      <c r="A60" s="8" t="s">
        <v>452</v>
      </c>
      <c r="B60" s="1" t="s">
        <v>867</v>
      </c>
    </row>
    <row r="61" spans="1:2" ht="12.75">
      <c r="A61" s="17" t="s">
        <v>589</v>
      </c>
      <c r="B61" s="4" t="s">
        <v>868</v>
      </c>
    </row>
    <row r="62" ht="12.75">
      <c r="B62" s="2"/>
    </row>
    <row r="63" ht="12.75">
      <c r="B63" s="2"/>
    </row>
    <row r="64" ht="14.25">
      <c r="A64" s="94" t="s">
        <v>240</v>
      </c>
    </row>
    <row r="65" spans="1:2" ht="12.75">
      <c r="A65" s="8" t="s">
        <v>241</v>
      </c>
      <c r="B65" s="1" t="s">
        <v>343</v>
      </c>
    </row>
    <row r="66" spans="1:2" ht="12.75">
      <c r="A66" s="8" t="s">
        <v>242</v>
      </c>
      <c r="B66" s="1" t="s">
        <v>869</v>
      </c>
    </row>
    <row r="67" spans="1:2" ht="12.75">
      <c r="A67" s="8" t="s">
        <v>243</v>
      </c>
      <c r="B67" s="1" t="s">
        <v>343</v>
      </c>
    </row>
    <row r="68" spans="1:2" ht="12.75">
      <c r="A68" s="24" t="s">
        <v>590</v>
      </c>
      <c r="B68" s="2" t="s">
        <v>870</v>
      </c>
    </row>
    <row r="70" ht="14.25">
      <c r="A70" s="94" t="s">
        <v>324</v>
      </c>
    </row>
    <row r="71" spans="1:2" ht="12.75">
      <c r="A71" s="1" t="s">
        <v>325</v>
      </c>
      <c r="B71" s="1" t="s">
        <v>772</v>
      </c>
    </row>
    <row r="72" spans="1:2" ht="12.75">
      <c r="A72" s="1" t="s">
        <v>326</v>
      </c>
      <c r="B72" s="1" t="s">
        <v>772</v>
      </c>
    </row>
    <row r="73" spans="1:2" ht="12.75">
      <c r="A73" s="1" t="s">
        <v>327</v>
      </c>
      <c r="B73" s="1" t="s">
        <v>772</v>
      </c>
    </row>
    <row r="74" spans="1:2" ht="12.75">
      <c r="A74" s="1" t="s">
        <v>392</v>
      </c>
      <c r="B74" s="1" t="s">
        <v>772</v>
      </c>
    </row>
    <row r="75" spans="1:2" ht="12.75">
      <c r="A75" s="1" t="s">
        <v>414</v>
      </c>
      <c r="B75" s="1" t="s">
        <v>871</v>
      </c>
    </row>
    <row r="76" spans="1:2" ht="12.75">
      <c r="A76" s="2" t="s">
        <v>4</v>
      </c>
      <c r="B76" s="2"/>
    </row>
    <row r="77" ht="12.75">
      <c r="B77" s="2"/>
    </row>
    <row r="78" spans="1:2" ht="12.75">
      <c r="A78" s="24"/>
      <c r="B78" s="24"/>
    </row>
    <row r="79" spans="1:2" ht="14.25">
      <c r="A79" s="95" t="s">
        <v>432</v>
      </c>
      <c r="B79" s="8"/>
    </row>
    <row r="80" spans="1:2" ht="25.5">
      <c r="A80" s="8" t="s">
        <v>433</v>
      </c>
      <c r="B80" s="8" t="s">
        <v>343</v>
      </c>
    </row>
    <row r="81" spans="1:2" ht="25.5">
      <c r="A81" s="8" t="s">
        <v>434</v>
      </c>
      <c r="B81" s="8" t="s">
        <v>343</v>
      </c>
    </row>
    <row r="82" spans="1:2" ht="25.5">
      <c r="A82" s="8" t="s">
        <v>435</v>
      </c>
      <c r="B82" s="8" t="s">
        <v>761</v>
      </c>
    </row>
    <row r="83" spans="1:2" ht="25.5">
      <c r="A83" s="8" t="s">
        <v>436</v>
      </c>
      <c r="B83" s="8" t="s">
        <v>343</v>
      </c>
    </row>
    <row r="84" spans="1:2" ht="25.5">
      <c r="A84" s="8" t="s">
        <v>437</v>
      </c>
      <c r="B84" s="8" t="s">
        <v>343</v>
      </c>
    </row>
    <row r="85" spans="1:2" ht="12.75">
      <c r="A85" s="8" t="s">
        <v>583</v>
      </c>
      <c r="B85" s="8" t="s">
        <v>872</v>
      </c>
    </row>
    <row r="86" spans="1:2" ht="12.75">
      <c r="A86" s="17"/>
      <c r="B86" s="17"/>
    </row>
    <row r="87" spans="1:2" ht="12.75">
      <c r="A87" s="17"/>
      <c r="B87" s="17"/>
    </row>
    <row r="88" spans="1:2" ht="14.25">
      <c r="A88" s="95" t="s">
        <v>179</v>
      </c>
      <c r="B88" s="17"/>
    </row>
    <row r="89" spans="1:2" ht="12.75">
      <c r="A89" s="84" t="s">
        <v>286</v>
      </c>
      <c r="B89" s="8" t="s">
        <v>343</v>
      </c>
    </row>
    <row r="90" spans="1:2" ht="12.75">
      <c r="A90" s="84" t="s">
        <v>205</v>
      </c>
      <c r="B90" s="8" t="s">
        <v>761</v>
      </c>
    </row>
    <row r="91" spans="1:2" ht="12.75">
      <c r="A91" s="84" t="s">
        <v>180</v>
      </c>
      <c r="B91" s="8" t="s">
        <v>343</v>
      </c>
    </row>
    <row r="92" spans="1:2" ht="12.75">
      <c r="A92" s="84" t="s">
        <v>181</v>
      </c>
      <c r="B92" s="8" t="s">
        <v>343</v>
      </c>
    </row>
    <row r="93" spans="1:2" ht="25.5">
      <c r="A93" s="84" t="s">
        <v>287</v>
      </c>
      <c r="B93" s="8" t="s">
        <v>343</v>
      </c>
    </row>
    <row r="94" spans="1:2" ht="12.75">
      <c r="A94" s="84" t="s">
        <v>187</v>
      </c>
      <c r="B94" s="8" t="s">
        <v>343</v>
      </c>
    </row>
    <row r="95" spans="1:2" ht="12.75">
      <c r="A95" s="84" t="s">
        <v>188</v>
      </c>
      <c r="B95" s="8" t="s">
        <v>343</v>
      </c>
    </row>
    <row r="96" spans="1:2" ht="12.75">
      <c r="A96" s="8" t="s">
        <v>231</v>
      </c>
      <c r="B96" s="8" t="s">
        <v>761</v>
      </c>
    </row>
    <row r="97" spans="1:2" ht="25.5">
      <c r="A97" s="8" t="s">
        <v>288</v>
      </c>
      <c r="B97" s="8" t="s">
        <v>761</v>
      </c>
    </row>
    <row r="98" spans="1:2" ht="12.75">
      <c r="A98" s="8" t="s">
        <v>232</v>
      </c>
      <c r="B98" s="1"/>
    </row>
    <row r="99" spans="1:2" ht="12.75">
      <c r="A99" s="24" t="s">
        <v>588</v>
      </c>
      <c r="B99" s="8" t="s">
        <v>872</v>
      </c>
    </row>
    <row r="100" spans="1:2" ht="12.75">
      <c r="A100" s="17"/>
      <c r="B100" s="17"/>
    </row>
    <row r="101" spans="1:2" ht="12.75">
      <c r="A101" s="19"/>
      <c r="B101" s="17"/>
    </row>
    <row r="102" spans="1:2" ht="14.25">
      <c r="A102" s="94" t="s">
        <v>156</v>
      </c>
      <c r="B102" s="17"/>
    </row>
    <row r="103" spans="1:2" ht="12.75">
      <c r="A103" s="84" t="s">
        <v>157</v>
      </c>
      <c r="B103" s="8" t="s">
        <v>761</v>
      </c>
    </row>
    <row r="104" spans="1:2" ht="12.75">
      <c r="A104" s="84" t="s">
        <v>158</v>
      </c>
      <c r="B104" s="8" t="s">
        <v>873</v>
      </c>
    </row>
    <row r="105" spans="1:2" ht="25.5">
      <c r="A105" s="84" t="s">
        <v>586</v>
      </c>
      <c r="B105" s="8" t="s">
        <v>874</v>
      </c>
    </row>
    <row r="106" spans="1:2" ht="12.75">
      <c r="A106" s="17"/>
      <c r="B106" s="17"/>
    </row>
    <row r="107" spans="1:2" ht="14.25">
      <c r="A107" s="95" t="s">
        <v>138</v>
      </c>
      <c r="B107" s="17"/>
    </row>
    <row r="108" spans="1:2" ht="25.5">
      <c r="A108" s="84" t="s">
        <v>426</v>
      </c>
      <c r="B108" s="8" t="s">
        <v>875</v>
      </c>
    </row>
    <row r="109" spans="1:2" ht="25.5">
      <c r="A109" s="84" t="s">
        <v>169</v>
      </c>
      <c r="B109" s="8" t="s">
        <v>343</v>
      </c>
    </row>
    <row r="110" spans="1:2" ht="25.5">
      <c r="A110" s="84" t="s">
        <v>139</v>
      </c>
      <c r="B110" s="8" t="s">
        <v>876</v>
      </c>
    </row>
    <row r="111" spans="1:2" ht="12.75">
      <c r="A111" s="84" t="s">
        <v>140</v>
      </c>
      <c r="B111" s="8" t="s">
        <v>343</v>
      </c>
    </row>
    <row r="112" spans="1:2" ht="38.25">
      <c r="A112" s="84" t="s">
        <v>170</v>
      </c>
      <c r="B112" s="8" t="s">
        <v>343</v>
      </c>
    </row>
    <row r="113" spans="1:2" ht="12.75">
      <c r="A113" s="84" t="s">
        <v>142</v>
      </c>
      <c r="B113" s="8" t="s">
        <v>761</v>
      </c>
    </row>
    <row r="114" spans="1:2" ht="12.75">
      <c r="A114" s="84" t="s">
        <v>165</v>
      </c>
      <c r="B114" s="8" t="s">
        <v>343</v>
      </c>
    </row>
    <row r="115" spans="1:2" ht="12.75">
      <c r="A115" s="84" t="s">
        <v>143</v>
      </c>
      <c r="B115" s="8" t="s">
        <v>877</v>
      </c>
    </row>
    <row r="116" spans="1:2" ht="12.75">
      <c r="A116" s="84" t="s">
        <v>155</v>
      </c>
      <c r="B116" s="8" t="s">
        <v>878</v>
      </c>
    </row>
    <row r="117" spans="1:2" ht="38.25">
      <c r="A117" s="84" t="s">
        <v>703</v>
      </c>
      <c r="B117" s="8" t="s">
        <v>879</v>
      </c>
    </row>
    <row r="118" spans="1:2" ht="12.75">
      <c r="A118" s="84" t="s">
        <v>166</v>
      </c>
      <c r="B118" s="8" t="s">
        <v>878</v>
      </c>
    </row>
    <row r="119" spans="1:2" ht="25.5">
      <c r="A119" s="84" t="s">
        <v>704</v>
      </c>
      <c r="B119" s="8" t="s">
        <v>761</v>
      </c>
    </row>
    <row r="120" spans="1:2" ht="12.75">
      <c r="A120" s="84" t="s">
        <v>167</v>
      </c>
      <c r="B120" s="8" t="s">
        <v>880</v>
      </c>
    </row>
    <row r="121" spans="1:2" ht="12.75">
      <c r="A121" s="84" t="s">
        <v>244</v>
      </c>
      <c r="B121" s="8" t="s">
        <v>343</v>
      </c>
    </row>
    <row r="122" spans="1:2" ht="25.5">
      <c r="A122" s="84" t="s">
        <v>168</v>
      </c>
      <c r="B122" s="8" t="s">
        <v>881</v>
      </c>
    </row>
    <row r="123" spans="1:2" ht="25.5">
      <c r="A123" s="84" t="s">
        <v>171</v>
      </c>
      <c r="B123" s="8" t="s">
        <v>882</v>
      </c>
    </row>
    <row r="124" spans="1:2" ht="12.75">
      <c r="A124" s="8" t="s">
        <v>212</v>
      </c>
      <c r="B124" s="8" t="s">
        <v>883</v>
      </c>
    </row>
    <row r="125" spans="1:2" ht="12.75">
      <c r="A125" s="84" t="s">
        <v>214</v>
      </c>
      <c r="B125" s="8" t="s">
        <v>884</v>
      </c>
    </row>
    <row r="126" spans="1:2" ht="12.75">
      <c r="A126" s="162" t="s">
        <v>587</v>
      </c>
      <c r="B126" s="24" t="s">
        <v>885</v>
      </c>
    </row>
    <row r="127" spans="1:2" ht="12.75">
      <c r="A127" s="17"/>
      <c r="B127" s="17"/>
    </row>
    <row r="128" ht="12.75">
      <c r="A128" s="17"/>
    </row>
    <row r="129" ht="14.25">
      <c r="A129" s="94" t="s">
        <v>210</v>
      </c>
    </row>
    <row r="130" spans="1:2" ht="38.25">
      <c r="A130" s="8" t="s">
        <v>213</v>
      </c>
      <c r="B130" s="8" t="s">
        <v>886</v>
      </c>
    </row>
    <row r="131" spans="1:2" ht="38.25">
      <c r="A131" s="8" t="s">
        <v>211</v>
      </c>
      <c r="B131" s="8" t="s">
        <v>887</v>
      </c>
    </row>
    <row r="132" spans="1:2" ht="38.25">
      <c r="A132" s="8" t="s">
        <v>453</v>
      </c>
      <c r="B132" s="8" t="s">
        <v>888</v>
      </c>
    </row>
    <row r="133" spans="1:2" ht="12.75">
      <c r="A133" s="24" t="s">
        <v>672</v>
      </c>
      <c r="B133" s="2" t="s">
        <v>889</v>
      </c>
    </row>
    <row r="134" spans="1:9" ht="12.75">
      <c r="A134" s="24" t="s">
        <v>673</v>
      </c>
      <c r="B134" s="2" t="s">
        <v>890</v>
      </c>
      <c r="F134" s="4" t="s">
        <v>4</v>
      </c>
      <c r="G134" s="4" t="s">
        <v>4</v>
      </c>
      <c r="I134" s="4" t="s">
        <v>4</v>
      </c>
    </row>
    <row r="135" spans="1:4" ht="12.75">
      <c r="A135" s="17"/>
      <c r="D135" s="4" t="s">
        <v>4</v>
      </c>
    </row>
    <row r="137" ht="14.25">
      <c r="A137" s="94" t="s">
        <v>261</v>
      </c>
    </row>
    <row r="138" spans="1:2" ht="25.5">
      <c r="A138" s="71" t="s">
        <v>394</v>
      </c>
      <c r="B138" s="71" t="s">
        <v>900</v>
      </c>
    </row>
    <row r="139" spans="1:2" ht="38.25">
      <c r="A139" s="71" t="s">
        <v>395</v>
      </c>
      <c r="B139" s="71" t="s">
        <v>906</v>
      </c>
    </row>
    <row r="140" spans="1:2" ht="12.75">
      <c r="A140" s="71" t="s">
        <v>396</v>
      </c>
      <c r="B140" s="71" t="s">
        <v>907</v>
      </c>
    </row>
    <row r="141" spans="1:2" ht="25.5">
      <c r="A141" s="71" t="s">
        <v>397</v>
      </c>
      <c r="B141" s="71" t="s">
        <v>908</v>
      </c>
    </row>
    <row r="142" spans="1:2" ht="12.75">
      <c r="A142" s="191" t="s">
        <v>262</v>
      </c>
      <c r="B142" s="71"/>
    </row>
    <row r="143" spans="1:2" ht="12.75">
      <c r="A143" s="192" t="s">
        <v>607</v>
      </c>
      <c r="B143" s="1"/>
    </row>
    <row r="144" spans="1:2" ht="12.75">
      <c r="A144" s="192" t="s">
        <v>608</v>
      </c>
      <c r="B144" s="1"/>
    </row>
    <row r="145" ht="12.75">
      <c r="A145" s="4" t="s">
        <v>4</v>
      </c>
    </row>
    <row r="146" spans="1:2" ht="14.25">
      <c r="A146" s="95" t="s">
        <v>660</v>
      </c>
      <c r="B146" s="1"/>
    </row>
    <row r="147" spans="1:2" ht="12.75">
      <c r="A147" s="1" t="s">
        <v>638</v>
      </c>
      <c r="B147" s="1" t="s">
        <v>761</v>
      </c>
    </row>
    <row r="148" spans="1:2" ht="12.75">
      <c r="A148" s="1" t="s">
        <v>639</v>
      </c>
      <c r="B148" s="1" t="s">
        <v>343</v>
      </c>
    </row>
    <row r="149" spans="1:2" ht="12.75">
      <c r="A149" s="1" t="s">
        <v>640</v>
      </c>
      <c r="B149" s="1" t="s">
        <v>343</v>
      </c>
    </row>
    <row r="150" spans="1:2" ht="12.75">
      <c r="A150" s="1" t="s">
        <v>641</v>
      </c>
      <c r="B150" s="1" t="s">
        <v>343</v>
      </c>
    </row>
    <row r="151" spans="1:2" ht="12.75">
      <c r="A151" s="1" t="s">
        <v>642</v>
      </c>
      <c r="B151" s="1" t="s">
        <v>891</v>
      </c>
    </row>
    <row r="152" spans="1:2" ht="12.75">
      <c r="A152" s="1" t="s">
        <v>643</v>
      </c>
      <c r="B152" s="1" t="s">
        <v>343</v>
      </c>
    </row>
    <row r="153" spans="1:2" ht="12.75">
      <c r="A153" s="1" t="s">
        <v>644</v>
      </c>
      <c r="B153" s="1" t="s">
        <v>343</v>
      </c>
    </row>
    <row r="154" spans="1:2" ht="12.75">
      <c r="A154" s="1" t="s">
        <v>645</v>
      </c>
      <c r="B154" s="1" t="s">
        <v>343</v>
      </c>
    </row>
    <row r="155" spans="1:2" ht="12.75">
      <c r="A155" s="1" t="s">
        <v>646</v>
      </c>
      <c r="B155" s="1" t="s">
        <v>343</v>
      </c>
    </row>
    <row r="157" ht="12.75">
      <c r="D157" s="4" t="s">
        <v>4</v>
      </c>
    </row>
    <row r="158" ht="14.25">
      <c r="A158" s="94" t="s">
        <v>328</v>
      </c>
    </row>
    <row r="159" spans="1:2" ht="12.75">
      <c r="A159" s="8" t="s">
        <v>329</v>
      </c>
      <c r="B159" s="1"/>
    </row>
    <row r="160" spans="1:2" ht="12.75">
      <c r="A160" s="8" t="s">
        <v>330</v>
      </c>
      <c r="B160" s="1"/>
    </row>
    <row r="161" spans="1:2" ht="12.75">
      <c r="A161" s="1" t="s">
        <v>662</v>
      </c>
      <c r="B161" s="1" t="s">
        <v>892</v>
      </c>
    </row>
    <row r="162" spans="1:2" ht="12.75">
      <c r="A162" s="1" t="s">
        <v>664</v>
      </c>
      <c r="B162" s="1" t="s">
        <v>761</v>
      </c>
    </row>
    <row r="163" spans="1:2" ht="25.5">
      <c r="A163" s="1" t="s">
        <v>665</v>
      </c>
      <c r="B163" s="8" t="s">
        <v>893</v>
      </c>
    </row>
    <row r="164" spans="1:2" ht="12.75">
      <c r="A164" s="1" t="s">
        <v>667</v>
      </c>
      <c r="B164" s="1" t="s">
        <v>894</v>
      </c>
    </row>
    <row r="165" spans="1:2" ht="12.75">
      <c r="A165" s="1" t="s">
        <v>663</v>
      </c>
      <c r="B165" s="1" t="s">
        <v>895</v>
      </c>
    </row>
    <row r="167" spans="1:2" ht="28.5">
      <c r="A167" s="95" t="s">
        <v>419</v>
      </c>
      <c r="B167" s="1"/>
    </row>
    <row r="168" spans="1:2" ht="12.75">
      <c r="A168" s="1" t="s">
        <v>417</v>
      </c>
      <c r="B168" s="1" t="s">
        <v>343</v>
      </c>
    </row>
    <row r="169" spans="1:2" ht="12.75">
      <c r="A169" s="1" t="s">
        <v>418</v>
      </c>
      <c r="B169" s="1" t="s">
        <v>761</v>
      </c>
    </row>
    <row r="170" spans="1:2" ht="12.75">
      <c r="A170" s="1" t="s">
        <v>420</v>
      </c>
      <c r="B170" s="1" t="s">
        <v>343</v>
      </c>
    </row>
    <row r="171" spans="1:2" ht="12.75">
      <c r="A171" s="1" t="s">
        <v>338</v>
      </c>
      <c r="B171" s="1" t="s">
        <v>896</v>
      </c>
    </row>
    <row r="172" spans="1:2" ht="25.5">
      <c r="A172" s="174" t="s">
        <v>678</v>
      </c>
      <c r="B172" s="1" t="s">
        <v>897</v>
      </c>
    </row>
    <row r="174" ht="14.25">
      <c r="A174" s="94" t="s">
        <v>454</v>
      </c>
    </row>
    <row r="175" spans="1:2" ht="12.75">
      <c r="A175" s="1" t="s">
        <v>455</v>
      </c>
      <c r="B175" s="1" t="s">
        <v>898</v>
      </c>
    </row>
    <row r="176" spans="1:2" ht="12.75">
      <c r="A176" s="1" t="s">
        <v>456</v>
      </c>
      <c r="B176" s="1" t="s">
        <v>899</v>
      </c>
    </row>
  </sheetData>
  <sheetProtection/>
  <printOptions gridLines="1"/>
  <pageMargins left="0.75" right="0.75" top="1" bottom="1" header="0.5" footer="0.5"/>
  <pageSetup horizontalDpi="600" verticalDpi="600" orientation="portrait" paperSize="9" scale="95" r:id="rId3"/>
  <legacyDrawing r:id="rId2"/>
</worksheet>
</file>

<file path=xl/worksheets/sheet9.xml><?xml version="1.0" encoding="utf-8"?>
<worksheet xmlns="http://schemas.openxmlformats.org/spreadsheetml/2006/main" xmlns:r="http://schemas.openxmlformats.org/officeDocument/2006/relationships">
  <dimension ref="A1:D18"/>
  <sheetViews>
    <sheetView zoomScalePageLayoutView="0" workbookViewId="0" topLeftCell="A1">
      <selection activeCell="B8" sqref="B8"/>
    </sheetView>
  </sheetViews>
  <sheetFormatPr defaultColWidth="9.00390625" defaultRowHeight="13.5"/>
  <cols>
    <col min="1" max="1" width="73.75390625" style="0" customWidth="1"/>
    <col min="2" max="2" width="58.50390625" style="0" customWidth="1"/>
  </cols>
  <sheetData>
    <row r="1" spans="1:2" s="4" customFormat="1" ht="14.25">
      <c r="A1" s="95" t="s">
        <v>141</v>
      </c>
      <c r="B1" s="8"/>
    </row>
    <row r="2" spans="1:2" s="4" customFormat="1" ht="25.5">
      <c r="A2" s="89" t="s">
        <v>670</v>
      </c>
      <c r="B2" s="8" t="s">
        <v>761</v>
      </c>
    </row>
    <row r="3" spans="1:2" s="4" customFormat="1" ht="12.75">
      <c r="A3" s="84" t="s">
        <v>668</v>
      </c>
      <c r="B3" s="8" t="s">
        <v>343</v>
      </c>
    </row>
    <row r="4" spans="1:2" s="4" customFormat="1" ht="89.25">
      <c r="A4" s="165" t="s">
        <v>677</v>
      </c>
      <c r="B4" s="8" t="s">
        <v>901</v>
      </c>
    </row>
    <row r="5" spans="1:2" s="4" customFormat="1" ht="12.75">
      <c r="A5" s="84" t="s">
        <v>669</v>
      </c>
      <c r="B5" s="8" t="s">
        <v>343</v>
      </c>
    </row>
    <row r="6" spans="1:2" s="4" customFormat="1" ht="25.5">
      <c r="A6" s="84" t="s">
        <v>316</v>
      </c>
      <c r="B6" s="8" t="s">
        <v>343</v>
      </c>
    </row>
    <row r="7" spans="1:2" s="4" customFormat="1" ht="12.75">
      <c r="A7" s="84" t="s">
        <v>144</v>
      </c>
      <c r="B7" s="8" t="s">
        <v>761</v>
      </c>
    </row>
    <row r="8" spans="1:2" s="4" customFormat="1" ht="25.5">
      <c r="A8" s="84" t="s">
        <v>221</v>
      </c>
      <c r="B8" s="8" t="s">
        <v>902</v>
      </c>
    </row>
    <row r="9" spans="1:4" s="4" customFormat="1" ht="12.75">
      <c r="A9" s="84" t="s">
        <v>315</v>
      </c>
      <c r="B9" s="8" t="s">
        <v>903</v>
      </c>
      <c r="D9" s="4" t="s">
        <v>4</v>
      </c>
    </row>
    <row r="10" spans="1:2" s="4" customFormat="1" ht="12.75">
      <c r="A10" s="84" t="s">
        <v>606</v>
      </c>
      <c r="B10" s="8" t="s">
        <v>343</v>
      </c>
    </row>
    <row r="11" spans="1:2" s="4" customFormat="1" ht="12.75">
      <c r="A11" s="84" t="s">
        <v>222</v>
      </c>
      <c r="B11" s="8" t="s">
        <v>761</v>
      </c>
    </row>
    <row r="12" spans="1:2" s="4" customFormat="1" ht="12.75">
      <c r="A12" s="84" t="s">
        <v>317</v>
      </c>
      <c r="B12" s="8" t="s">
        <v>343</v>
      </c>
    </row>
    <row r="13" spans="1:2" s="4" customFormat="1" ht="38.25">
      <c r="A13" s="84" t="s">
        <v>416</v>
      </c>
      <c r="B13" s="8" t="s">
        <v>343</v>
      </c>
    </row>
    <row r="14" spans="1:2" s="4" customFormat="1" ht="12.75">
      <c r="A14" s="84" t="s">
        <v>333</v>
      </c>
      <c r="B14" s="8" t="s">
        <v>343</v>
      </c>
    </row>
    <row r="15" spans="1:2" s="4" customFormat="1" ht="25.5">
      <c r="A15" s="84" t="s">
        <v>387</v>
      </c>
      <c r="B15" s="8" t="s">
        <v>904</v>
      </c>
    </row>
    <row r="16" spans="1:2" s="4" customFormat="1" ht="12.75">
      <c r="A16" s="84" t="s">
        <v>388</v>
      </c>
      <c r="B16" s="8" t="s">
        <v>343</v>
      </c>
    </row>
    <row r="17" spans="1:2" s="4" customFormat="1" ht="25.5">
      <c r="A17" s="84" t="s">
        <v>405</v>
      </c>
      <c r="B17" s="8" t="s">
        <v>761</v>
      </c>
    </row>
    <row r="18" spans="1:2" s="4" customFormat="1" ht="25.5">
      <c r="A18" s="19" t="s">
        <v>621</v>
      </c>
      <c r="B18" s="17" t="s">
        <v>905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 template</dc:title>
  <dc:subject/>
  <dc:creator>Rohit chauhan</dc:creator>
  <cp:keywords/>
  <dc:description/>
  <cp:lastModifiedBy>Chauhan, Rohit</cp:lastModifiedBy>
  <cp:lastPrinted>2002-12-14T07:57:24Z</cp:lastPrinted>
  <dcterms:created xsi:type="dcterms:W3CDTF">2001-12-29T06:11:48Z</dcterms:created>
  <dcterms:modified xsi:type="dcterms:W3CDTF">2013-09-12T16:40:49Z</dcterms:modified>
  <cp:category/>
  <cp:version/>
  <cp:contentType/>
  <cp:contentStatus/>
</cp:coreProperties>
</file>