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mc:AlternateContent xmlns:mc="http://schemas.openxmlformats.org/markup-compatibility/2006">
    <mc:Choice Requires="x15">
      <x15ac:absPath xmlns:x15ac="http://schemas.microsoft.com/office/spreadsheetml/2010/11/ac" url="C:\Users\Vishal\Desktop\"/>
    </mc:Choice>
  </mc:AlternateContent>
  <xr:revisionPtr revIDLastSave="0" documentId="13_ncr:1_{1EF68F95-4FA4-4192-90D9-D0F040F17E7B}" xr6:coauthVersionLast="40" xr6:coauthVersionMax="40" xr10:uidLastSave="{00000000-0000-0000-0000-000000000000}"/>
  <bookViews>
    <workbookView xWindow="0" yWindow="0" windowWidth="19200" windowHeight="6940" firstSheet="2" activeTab="7" xr2:uid="{00000000-000D-0000-FFFF-FFFF00000000}"/>
  </bookViews>
  <sheets>
    <sheet name="Instructions" sheetId="16" r:id="rId1"/>
    <sheet name="Summary" sheetId="15" r:id="rId2"/>
    <sheet name="Checklist" sheetId="14" r:id="rId3"/>
    <sheet name="Balance Sheet" sheetId="2" r:id="rId4"/>
    <sheet name="Profit &amp; Loss" sheetId="1" r:id="rId5"/>
    <sheet name="Cash Flow" sheetId="4" r:id="rId6"/>
    <sheet name="Key Ratios" sheetId="17" r:id="rId7"/>
    <sheet name="Competitive Analysis" sheetId="19" r:id="rId8"/>
    <sheet name="Charts" sheetId="18" r:id="rId9"/>
    <sheet name="Data Sheet" sheetId="6" r:id="rId10"/>
    <sheet name="Common Size Analysis" sheetId="13" r:id="rId11"/>
    <sheet name="Dhandho IV" sheetId="9" r:id="rId12"/>
    <sheet name="Ben Graham Formula" sheetId="8" r:id="rId13"/>
    <sheet name="DCF" sheetId="11" r:id="rId14"/>
    <sheet name="Expected Returns" sheetId="12" r:id="rId15"/>
    <sheet name="Intrinsic Values" sheetId="10" r:id="rId16"/>
    <sheet name="Quarters" sheetId="3" r:id="rId17"/>
    <sheet name="Customization" sheetId="5" r:id="rId18"/>
  </sheets>
  <definedNames>
    <definedName name="UPDATE">'Data Sheet'!$E$1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13" l="1"/>
  <c r="J21" i="13"/>
  <c r="I21" i="13"/>
  <c r="H21" i="13"/>
  <c r="G21" i="13"/>
  <c r="F21" i="13"/>
  <c r="E21" i="13"/>
  <c r="D21" i="13"/>
  <c r="C21" i="13"/>
  <c r="B21" i="13"/>
  <c r="K2" i="13"/>
  <c r="C2" i="13"/>
  <c r="D2" i="13"/>
  <c r="E2" i="13"/>
  <c r="F2" i="13"/>
  <c r="G2" i="13"/>
  <c r="H2" i="13"/>
  <c r="I2" i="13"/>
  <c r="J2" i="13"/>
  <c r="B2" i="13"/>
  <c r="K46" i="19" l="1"/>
  <c r="J46" i="19"/>
  <c r="I46" i="19"/>
  <c r="H46" i="19"/>
  <c r="G46" i="19"/>
  <c r="F46" i="19"/>
  <c r="E46" i="19"/>
  <c r="D46" i="19"/>
  <c r="C46" i="19"/>
  <c r="B46" i="19"/>
  <c r="K43" i="19"/>
  <c r="J43" i="19"/>
  <c r="I43" i="19"/>
  <c r="H43" i="19"/>
  <c r="G43" i="19"/>
  <c r="F43" i="19"/>
  <c r="E43" i="19"/>
  <c r="D43" i="19"/>
  <c r="C43" i="19"/>
  <c r="B43" i="19"/>
  <c r="K40" i="19"/>
  <c r="J40" i="19"/>
  <c r="I40" i="19"/>
  <c r="H40" i="19"/>
  <c r="G40" i="19"/>
  <c r="F40" i="19"/>
  <c r="E40" i="19"/>
  <c r="D40" i="19"/>
  <c r="C40" i="19"/>
  <c r="B40" i="19"/>
  <c r="L41" i="19"/>
  <c r="C42" i="19"/>
  <c r="K45" i="19"/>
  <c r="J45" i="19"/>
  <c r="I45" i="19"/>
  <c r="H45" i="19"/>
  <c r="G45" i="19"/>
  <c r="F45" i="19"/>
  <c r="E45" i="19"/>
  <c r="D45" i="19"/>
  <c r="C45" i="19"/>
  <c r="L44" i="19"/>
  <c r="K42" i="19"/>
  <c r="J42" i="19"/>
  <c r="I42" i="19"/>
  <c r="H42" i="19"/>
  <c r="G42" i="19"/>
  <c r="F42" i="19"/>
  <c r="E42" i="19"/>
  <c r="D42" i="19"/>
  <c r="K39" i="19"/>
  <c r="J39" i="19"/>
  <c r="I39" i="19"/>
  <c r="H39" i="19"/>
  <c r="G39" i="19"/>
  <c r="F39" i="19"/>
  <c r="E39" i="19"/>
  <c r="D39" i="19"/>
  <c r="C39" i="19"/>
  <c r="L38" i="19"/>
  <c r="K31" i="19"/>
  <c r="J31" i="19"/>
  <c r="I31" i="19"/>
  <c r="H31" i="19"/>
  <c r="I32" i="19" s="1"/>
  <c r="G31" i="19"/>
  <c r="F31" i="19"/>
  <c r="E31" i="19"/>
  <c r="D31" i="19"/>
  <c r="E32" i="19" s="1"/>
  <c r="C31" i="19"/>
  <c r="K33" i="19"/>
  <c r="J33" i="19"/>
  <c r="I33" i="19"/>
  <c r="J34" i="19" s="1"/>
  <c r="H33" i="19"/>
  <c r="G33" i="19"/>
  <c r="F33" i="19"/>
  <c r="E33" i="19"/>
  <c r="F34" i="19" s="1"/>
  <c r="D33" i="19"/>
  <c r="C33" i="19"/>
  <c r="B33" i="19"/>
  <c r="B31" i="19"/>
  <c r="K29" i="19"/>
  <c r="J29" i="19"/>
  <c r="I29" i="19"/>
  <c r="H29" i="19"/>
  <c r="G29" i="19"/>
  <c r="F29" i="19"/>
  <c r="E29" i="19"/>
  <c r="D29" i="19"/>
  <c r="C29" i="19"/>
  <c r="B29" i="19"/>
  <c r="K25" i="19"/>
  <c r="J25" i="19"/>
  <c r="I25" i="19"/>
  <c r="H25" i="19"/>
  <c r="G25" i="19"/>
  <c r="F25" i="19"/>
  <c r="E25" i="19"/>
  <c r="D25" i="19"/>
  <c r="C25" i="19"/>
  <c r="B25" i="19"/>
  <c r="K22" i="19"/>
  <c r="J22" i="19"/>
  <c r="I22" i="19"/>
  <c r="H22" i="19"/>
  <c r="G22" i="19"/>
  <c r="F22" i="19"/>
  <c r="E22" i="19"/>
  <c r="D22" i="19"/>
  <c r="C22" i="19"/>
  <c r="B22" i="19"/>
  <c r="K19" i="19"/>
  <c r="J19" i="19"/>
  <c r="I19" i="19"/>
  <c r="H19" i="19"/>
  <c r="G19" i="19"/>
  <c r="F19" i="19"/>
  <c r="E19" i="19"/>
  <c r="D19" i="19"/>
  <c r="C19" i="19"/>
  <c r="B19" i="19"/>
  <c r="K24" i="19"/>
  <c r="J24" i="19"/>
  <c r="I24" i="19"/>
  <c r="H24" i="19"/>
  <c r="G24" i="19"/>
  <c r="F24" i="19"/>
  <c r="E24" i="19"/>
  <c r="D24" i="19"/>
  <c r="C24" i="19"/>
  <c r="L23" i="19"/>
  <c r="K21" i="19"/>
  <c r="J21" i="19"/>
  <c r="I21" i="19"/>
  <c r="H21" i="19"/>
  <c r="G21" i="19"/>
  <c r="F21" i="19"/>
  <c r="E21" i="19"/>
  <c r="D21" i="19"/>
  <c r="C21" i="19"/>
  <c r="L20" i="19"/>
  <c r="K18" i="19"/>
  <c r="J18" i="19"/>
  <c r="I18" i="19"/>
  <c r="H18" i="19"/>
  <c r="G18" i="19"/>
  <c r="F18" i="19"/>
  <c r="E18" i="19"/>
  <c r="D18" i="19"/>
  <c r="C18" i="19"/>
  <c r="L17" i="19"/>
  <c r="K9" i="19"/>
  <c r="J9" i="19"/>
  <c r="I9" i="19"/>
  <c r="H9" i="19"/>
  <c r="G9" i="19"/>
  <c r="F9" i="19"/>
  <c r="E9" i="19"/>
  <c r="D9" i="19"/>
  <c r="C9" i="19"/>
  <c r="K13" i="19"/>
  <c r="J13" i="19"/>
  <c r="I13" i="19"/>
  <c r="H13" i="19"/>
  <c r="G13" i="19"/>
  <c r="F13" i="19"/>
  <c r="E13" i="19"/>
  <c r="D13" i="19"/>
  <c r="C13" i="19"/>
  <c r="B13" i="19"/>
  <c r="K10" i="19"/>
  <c r="J10" i="19"/>
  <c r="I10" i="19"/>
  <c r="H10" i="19"/>
  <c r="G10" i="19"/>
  <c r="F10" i="19"/>
  <c r="E10" i="19"/>
  <c r="D10" i="19"/>
  <c r="C10" i="19"/>
  <c r="B10" i="19"/>
  <c r="K7" i="19"/>
  <c r="J7" i="19"/>
  <c r="I7" i="19"/>
  <c r="H7" i="19"/>
  <c r="G7" i="19"/>
  <c r="F7" i="19"/>
  <c r="E7" i="19"/>
  <c r="D7" i="19"/>
  <c r="C7" i="19"/>
  <c r="B7" i="19"/>
  <c r="L8" i="19"/>
  <c r="L11" i="19"/>
  <c r="K12" i="19"/>
  <c r="J12" i="19"/>
  <c r="I12" i="19"/>
  <c r="H12" i="19"/>
  <c r="G12" i="19"/>
  <c r="F12" i="19"/>
  <c r="E12" i="19"/>
  <c r="D12" i="19"/>
  <c r="C12" i="19"/>
  <c r="C32" i="19" l="1"/>
  <c r="K32" i="19"/>
  <c r="I30" i="19"/>
  <c r="G34" i="19"/>
  <c r="C34" i="19"/>
  <c r="D30" i="19"/>
  <c r="H30" i="19"/>
  <c r="E30" i="19"/>
  <c r="F30" i="19"/>
  <c r="J30" i="19"/>
  <c r="K34" i="19"/>
  <c r="C30" i="19"/>
  <c r="G30" i="19"/>
  <c r="K30" i="19"/>
  <c r="F32" i="19"/>
  <c r="J32" i="19"/>
  <c r="G32" i="19"/>
  <c r="D34" i="19"/>
  <c r="H34" i="19"/>
  <c r="D32" i="19"/>
  <c r="H32" i="19"/>
  <c r="E34" i="19"/>
  <c r="I34" i="19"/>
  <c r="L5" i="19" l="1"/>
  <c r="D6" i="19"/>
  <c r="E6" i="19"/>
  <c r="F6" i="19"/>
  <c r="G6" i="19"/>
  <c r="H6" i="19"/>
  <c r="I6" i="19"/>
  <c r="J6" i="19"/>
  <c r="K6" i="19"/>
  <c r="C6" i="19"/>
  <c r="K7" i="17" l="1"/>
  <c r="J7" i="17"/>
  <c r="I7" i="17"/>
  <c r="H7" i="17"/>
  <c r="G7" i="17"/>
  <c r="F7" i="17"/>
  <c r="E7" i="17"/>
  <c r="D7" i="17"/>
  <c r="C7" i="17"/>
  <c r="A53" i="18"/>
  <c r="A52" i="18"/>
  <c r="A51" i="18"/>
  <c r="B6" i="4"/>
  <c r="L6" i="4" s="1"/>
  <c r="C6" i="4"/>
  <c r="D6" i="4"/>
  <c r="E6" i="4"/>
  <c r="F6" i="4"/>
  <c r="G6" i="4"/>
  <c r="H6" i="4"/>
  <c r="I6" i="4"/>
  <c r="J6" i="4"/>
  <c r="K6" i="4"/>
  <c r="A22" i="17" l="1"/>
  <c r="A21" i="17"/>
  <c r="A17" i="17"/>
  <c r="A16" i="17"/>
  <c r="A15" i="17"/>
  <c r="B14" i="12" l="1"/>
  <c r="B11" i="15" l="1"/>
  <c r="B10" i="15"/>
  <c r="B9" i="15"/>
  <c r="B19" i="15"/>
  <c r="F4" i="13" l="1"/>
  <c r="K11" i="13" l="1"/>
  <c r="J11" i="13"/>
  <c r="I11" i="13"/>
  <c r="H11" i="13"/>
  <c r="G11" i="13"/>
  <c r="F11" i="13"/>
  <c r="E11" i="13"/>
  <c r="D11" i="13"/>
  <c r="C11" i="13"/>
  <c r="B11" i="13"/>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18" i="13"/>
  <c r="J18" i="13"/>
  <c r="I18" i="13"/>
  <c r="H18" i="13"/>
  <c r="G18" i="13"/>
  <c r="F18" i="13"/>
  <c r="E18" i="13"/>
  <c r="D18" i="13"/>
  <c r="C18" i="13"/>
  <c r="B18" i="13"/>
  <c r="K17" i="13"/>
  <c r="J17" i="13"/>
  <c r="I17" i="13"/>
  <c r="H17" i="13"/>
  <c r="G17" i="13"/>
  <c r="F17" i="13"/>
  <c r="E17" i="13"/>
  <c r="D17" i="13"/>
  <c r="C17" i="13"/>
  <c r="B17" i="13"/>
  <c r="K16" i="13"/>
  <c r="J16" i="13"/>
  <c r="I16" i="13"/>
  <c r="H16" i="13"/>
  <c r="G16" i="13"/>
  <c r="F16" i="13"/>
  <c r="E16" i="13"/>
  <c r="D16" i="13"/>
  <c r="C16" i="13"/>
  <c r="B16" i="13"/>
  <c r="K15" i="13"/>
  <c r="J15" i="13"/>
  <c r="I15" i="13"/>
  <c r="H15" i="13"/>
  <c r="G15" i="13"/>
  <c r="F15" i="13"/>
  <c r="E15" i="13"/>
  <c r="D15" i="13"/>
  <c r="C15" i="13"/>
  <c r="B15"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K10" i="13"/>
  <c r="J10" i="13"/>
  <c r="I10" i="13"/>
  <c r="H10" i="13"/>
  <c r="G10" i="13"/>
  <c r="F10" i="13"/>
  <c r="E10" i="13"/>
  <c r="D10" i="13"/>
  <c r="C10" i="13"/>
  <c r="B10" i="13"/>
  <c r="K9" i="13"/>
  <c r="J9" i="13"/>
  <c r="I9" i="13"/>
  <c r="H9" i="13"/>
  <c r="G9" i="13"/>
  <c r="F9" i="13"/>
  <c r="E9" i="13"/>
  <c r="D9" i="13"/>
  <c r="C9" i="13"/>
  <c r="B9" i="13"/>
  <c r="K8" i="13"/>
  <c r="J8" i="13"/>
  <c r="I8" i="13"/>
  <c r="H8" i="13"/>
  <c r="G8" i="13"/>
  <c r="F8" i="13"/>
  <c r="E8" i="13"/>
  <c r="D8" i="13"/>
  <c r="C8" i="13"/>
  <c r="B8" i="13"/>
  <c r="K7" i="13"/>
  <c r="J7" i="13"/>
  <c r="I7" i="13"/>
  <c r="H7" i="13"/>
  <c r="G7" i="13"/>
  <c r="F7" i="13"/>
  <c r="E7" i="13"/>
  <c r="D7" i="13"/>
  <c r="C7" i="13"/>
  <c r="B7" i="13"/>
  <c r="K6" i="13"/>
  <c r="J6" i="13"/>
  <c r="I6" i="13"/>
  <c r="H6" i="13"/>
  <c r="G6" i="13"/>
  <c r="F6" i="13"/>
  <c r="E6" i="13"/>
  <c r="D6" i="13"/>
  <c r="C6" i="13"/>
  <c r="B6" i="13"/>
  <c r="K5" i="13"/>
  <c r="J5" i="13"/>
  <c r="I5" i="13"/>
  <c r="H5" i="13"/>
  <c r="G5" i="13"/>
  <c r="F5" i="13"/>
  <c r="E5" i="13"/>
  <c r="D5" i="13"/>
  <c r="C5" i="13"/>
  <c r="B5" i="13"/>
  <c r="K4" i="13"/>
  <c r="J4" i="13"/>
  <c r="I4" i="13"/>
  <c r="H4" i="13"/>
  <c r="G4" i="13"/>
  <c r="E4" i="13"/>
  <c r="D4" i="13"/>
  <c r="C4" i="13"/>
  <c r="B4" i="13"/>
  <c r="E5" i="11" l="1"/>
  <c r="B30" i="11"/>
  <c r="B16" i="12"/>
  <c r="B11" i="12"/>
  <c r="K4" i="12"/>
  <c r="B10" i="12" s="1"/>
  <c r="B13" i="12" s="1"/>
  <c r="J4" i="12"/>
  <c r="J5" i="12" s="1"/>
  <c r="I4" i="12"/>
  <c r="I5" i="12" s="1"/>
  <c r="H4" i="12"/>
  <c r="H5" i="12" s="1"/>
  <c r="G4" i="12"/>
  <c r="G5" i="12" s="1"/>
  <c r="F4" i="12"/>
  <c r="F5" i="12" s="1"/>
  <c r="E4" i="12"/>
  <c r="E5" i="12" s="1"/>
  <c r="D4" i="12"/>
  <c r="D5" i="12" s="1"/>
  <c r="C4" i="12"/>
  <c r="C5" i="12" s="1"/>
  <c r="B4" i="12"/>
  <c r="B5" i="12" s="1"/>
  <c r="K3" i="12"/>
  <c r="J3" i="12"/>
  <c r="I3" i="12"/>
  <c r="H3" i="12"/>
  <c r="G3" i="12"/>
  <c r="F3" i="12"/>
  <c r="E3" i="12"/>
  <c r="D3" i="12"/>
  <c r="C3" i="12"/>
  <c r="B3" i="12"/>
  <c r="A2" i="12"/>
  <c r="A2" i="11"/>
  <c r="C23" i="11"/>
  <c r="C22" i="11"/>
  <c r="C21" i="11"/>
  <c r="C20" i="11"/>
  <c r="C19" i="11"/>
  <c r="C18" i="11"/>
  <c r="C17" i="11"/>
  <c r="C16" i="11"/>
  <c r="C15" i="11"/>
  <c r="C14" i="11"/>
  <c r="K5" i="12" l="1"/>
  <c r="B15" i="12"/>
  <c r="B7" i="10" s="1"/>
  <c r="M4" i="12"/>
  <c r="L4" i="12"/>
  <c r="E7" i="8" l="1"/>
  <c r="A2" i="10"/>
  <c r="B8" i="10"/>
  <c r="G19" i="2" l="1"/>
  <c r="H19" i="2"/>
  <c r="I19" i="2"/>
  <c r="J19" i="2"/>
  <c r="K19" i="2"/>
  <c r="D7" i="9" s="1"/>
  <c r="K7" i="9" s="1"/>
  <c r="E19" i="2"/>
  <c r="F19" i="2"/>
  <c r="A4" i="9"/>
  <c r="H4" i="9" s="1"/>
  <c r="D20" i="9"/>
  <c r="K20" i="9" s="1"/>
  <c r="B11" i="8" l="1"/>
  <c r="E11" i="8" s="1"/>
  <c r="K11" i="1" l="1"/>
  <c r="J11" i="1"/>
  <c r="I11" i="1"/>
  <c r="H11" i="1"/>
  <c r="G11" i="1"/>
  <c r="F11" i="1"/>
  <c r="E11" i="1"/>
  <c r="D11" i="1"/>
  <c r="C11" i="1"/>
  <c r="K10" i="1"/>
  <c r="J10" i="1"/>
  <c r="I10" i="1"/>
  <c r="H10" i="1"/>
  <c r="G10" i="1"/>
  <c r="F10" i="1"/>
  <c r="E10" i="1"/>
  <c r="D10" i="1"/>
  <c r="C10" i="1"/>
  <c r="K9" i="1"/>
  <c r="J9" i="1"/>
  <c r="I9" i="1"/>
  <c r="H9" i="1"/>
  <c r="G9" i="1"/>
  <c r="F9" i="1"/>
  <c r="E9" i="1"/>
  <c r="D9" i="1"/>
  <c r="C9" i="1"/>
  <c r="K8" i="1"/>
  <c r="J8" i="1"/>
  <c r="I8" i="1"/>
  <c r="H8" i="1"/>
  <c r="G8" i="1"/>
  <c r="F8" i="1"/>
  <c r="E8" i="1"/>
  <c r="D8" i="1"/>
  <c r="C8" i="1"/>
  <c r="K7" i="1"/>
  <c r="J7" i="1"/>
  <c r="I7" i="1"/>
  <c r="H7" i="1"/>
  <c r="G7" i="1"/>
  <c r="F7" i="1"/>
  <c r="E7" i="1"/>
  <c r="D7" i="1"/>
  <c r="C7" i="1"/>
  <c r="B11" i="1"/>
  <c r="B10" i="1"/>
  <c r="B9" i="1"/>
  <c r="B8" i="1"/>
  <c r="B7" i="1"/>
  <c r="B14" i="3" l="1"/>
  <c r="C14" i="3"/>
  <c r="D14" i="3"/>
  <c r="E14" i="3"/>
  <c r="F14" i="3"/>
  <c r="G14" i="3"/>
  <c r="H14" i="3"/>
  <c r="I14" i="3"/>
  <c r="J14" i="3"/>
  <c r="K14" i="3"/>
  <c r="C7" i="3" l="1"/>
  <c r="D7" i="3"/>
  <c r="E7" i="3"/>
  <c r="F7" i="3"/>
  <c r="G7" i="3"/>
  <c r="H7" i="3"/>
  <c r="I7" i="3"/>
  <c r="J7" i="3"/>
  <c r="K7" i="3"/>
  <c r="B7" i="3"/>
  <c r="C6" i="1"/>
  <c r="D6" i="1"/>
  <c r="E6" i="1"/>
  <c r="F6" i="1"/>
  <c r="G6" i="1"/>
  <c r="H6" i="1"/>
  <c r="I6" i="1"/>
  <c r="J6" i="1"/>
  <c r="K6" i="1"/>
  <c r="B6" i="1"/>
  <c r="K93" i="6"/>
  <c r="C93" i="6"/>
  <c r="D93" i="6"/>
  <c r="E93" i="6"/>
  <c r="F93" i="6"/>
  <c r="G93" i="6"/>
  <c r="H93" i="6"/>
  <c r="I93" i="6"/>
  <c r="J93" i="6"/>
  <c r="B93" i="6"/>
  <c r="B6" i="6" l="1"/>
  <c r="B12" i="15" s="1"/>
  <c r="B13" i="15"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C19" i="17" s="1"/>
  <c r="D6" i="2"/>
  <c r="D19" i="17" s="1"/>
  <c r="E6" i="2"/>
  <c r="F6" i="2"/>
  <c r="G6" i="2"/>
  <c r="G19" i="17" s="1"/>
  <c r="H6" i="2"/>
  <c r="H19" i="17" s="1"/>
  <c r="I6" i="2"/>
  <c r="J6" i="2"/>
  <c r="K6" i="2"/>
  <c r="K19" i="17" s="1"/>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G5" i="4" s="1"/>
  <c r="G8" i="17" s="1"/>
  <c r="H4" i="4"/>
  <c r="I4" i="4"/>
  <c r="J4" i="4"/>
  <c r="K4" i="4"/>
  <c r="K5" i="4" s="1"/>
  <c r="K8" i="17" s="1"/>
  <c r="C7" i="4"/>
  <c r="D7" i="4"/>
  <c r="E7" i="4"/>
  <c r="F7" i="4"/>
  <c r="G7" i="4"/>
  <c r="H7" i="4"/>
  <c r="I7" i="4"/>
  <c r="J7" i="4"/>
  <c r="K7" i="4"/>
  <c r="C8" i="4"/>
  <c r="D8" i="4"/>
  <c r="E8" i="4"/>
  <c r="F8" i="4"/>
  <c r="G8" i="4"/>
  <c r="H8" i="4"/>
  <c r="I8" i="4"/>
  <c r="J8" i="4"/>
  <c r="K8" i="4"/>
  <c r="C4" i="3"/>
  <c r="D4" i="3"/>
  <c r="E4" i="3"/>
  <c r="F4" i="3"/>
  <c r="G4" i="3"/>
  <c r="G5" i="3" s="1"/>
  <c r="H4" i="3"/>
  <c r="H5" i="3" s="1"/>
  <c r="I4" i="3"/>
  <c r="I5" i="3" s="1"/>
  <c r="J4" i="3"/>
  <c r="J5" i="3" s="1"/>
  <c r="K4" i="3"/>
  <c r="K5" i="3" s="1"/>
  <c r="C6" i="3"/>
  <c r="D6" i="3"/>
  <c r="E6" i="3"/>
  <c r="F6" i="3"/>
  <c r="G6" i="3"/>
  <c r="H6" i="3"/>
  <c r="I6" i="3"/>
  <c r="J6" i="3"/>
  <c r="K6" i="3"/>
  <c r="C8" i="3"/>
  <c r="D8" i="3"/>
  <c r="E8" i="3"/>
  <c r="F8" i="3"/>
  <c r="G8" i="3"/>
  <c r="H8" i="3"/>
  <c r="I8" i="3"/>
  <c r="J8" i="3"/>
  <c r="K8" i="3"/>
  <c r="C9" i="3"/>
  <c r="D9" i="3"/>
  <c r="E9" i="3"/>
  <c r="F9" i="3"/>
  <c r="G9" i="3"/>
  <c r="H9" i="3"/>
  <c r="I9" i="3"/>
  <c r="J9" i="3"/>
  <c r="K9" i="3"/>
  <c r="C10" i="3"/>
  <c r="D10" i="3"/>
  <c r="E10" i="3"/>
  <c r="F10" i="3"/>
  <c r="G10" i="3"/>
  <c r="H10" i="3"/>
  <c r="I10" i="3"/>
  <c r="J10" i="3"/>
  <c r="K10" i="3"/>
  <c r="C11" i="3"/>
  <c r="C12" i="3" s="1"/>
  <c r="D11" i="3"/>
  <c r="D12" i="3" s="1"/>
  <c r="E11" i="3"/>
  <c r="F11" i="3"/>
  <c r="G11" i="3"/>
  <c r="G12" i="3" s="1"/>
  <c r="H11" i="3"/>
  <c r="I11" i="3"/>
  <c r="J11" i="3"/>
  <c r="K11" i="3"/>
  <c r="C15" i="3"/>
  <c r="D15" i="3"/>
  <c r="E15" i="3"/>
  <c r="F15" i="3"/>
  <c r="G15" i="3"/>
  <c r="G16" i="3" s="1"/>
  <c r="H15" i="3"/>
  <c r="H16" i="3" s="1"/>
  <c r="I15" i="3"/>
  <c r="I16" i="3" s="1"/>
  <c r="J15" i="3"/>
  <c r="J16" i="3" s="1"/>
  <c r="K15" i="3"/>
  <c r="K16" i="3" s="1"/>
  <c r="B6" i="3"/>
  <c r="C30" i="1"/>
  <c r="D30" i="1"/>
  <c r="E30" i="1"/>
  <c r="F30" i="1"/>
  <c r="G30" i="1"/>
  <c r="H30" i="1"/>
  <c r="I30" i="1"/>
  <c r="J30" i="1"/>
  <c r="K30" i="1"/>
  <c r="B30" i="1"/>
  <c r="C4" i="1"/>
  <c r="D4" i="1"/>
  <c r="E4" i="1"/>
  <c r="F4" i="1"/>
  <c r="G4" i="1"/>
  <c r="H4" i="1"/>
  <c r="I4" i="1"/>
  <c r="J4" i="1"/>
  <c r="K4" i="1"/>
  <c r="C14" i="1"/>
  <c r="D14" i="1"/>
  <c r="E14" i="1"/>
  <c r="F14" i="1"/>
  <c r="F15" i="1" s="1"/>
  <c r="G14" i="1"/>
  <c r="H14" i="1"/>
  <c r="I14" i="1"/>
  <c r="J14" i="1"/>
  <c r="J15" i="1" s="1"/>
  <c r="K14" i="1"/>
  <c r="C16" i="1"/>
  <c r="D16" i="1"/>
  <c r="E16" i="1"/>
  <c r="F16" i="1"/>
  <c r="G16" i="1"/>
  <c r="H16" i="1"/>
  <c r="I16" i="1"/>
  <c r="J16" i="1"/>
  <c r="K16" i="1"/>
  <c r="C17" i="1"/>
  <c r="D17" i="1"/>
  <c r="E17" i="1"/>
  <c r="F17" i="1"/>
  <c r="G17" i="1"/>
  <c r="H17" i="1"/>
  <c r="I17" i="1"/>
  <c r="J17" i="1"/>
  <c r="K17" i="1"/>
  <c r="C22" i="1"/>
  <c r="D22" i="1"/>
  <c r="E22" i="1"/>
  <c r="F22" i="1"/>
  <c r="G22" i="1"/>
  <c r="H22" i="1"/>
  <c r="I22" i="1"/>
  <c r="J22" i="1"/>
  <c r="K22" i="1"/>
  <c r="C29" i="1"/>
  <c r="C31" i="1" s="1"/>
  <c r="D29" i="1"/>
  <c r="D31" i="1" s="1"/>
  <c r="E29" i="1"/>
  <c r="E31" i="1" s="1"/>
  <c r="F29" i="1"/>
  <c r="F31" i="1" s="1"/>
  <c r="G29" i="1"/>
  <c r="G31" i="1" s="1"/>
  <c r="H29" i="1"/>
  <c r="H31" i="1" s="1"/>
  <c r="I29" i="1"/>
  <c r="I31" i="1" s="1"/>
  <c r="J29" i="1"/>
  <c r="J31" i="1" s="1"/>
  <c r="K29" i="1"/>
  <c r="K31" i="1" s="1"/>
  <c r="B29" i="1"/>
  <c r="B31" i="1" s="1"/>
  <c r="B14" i="1"/>
  <c r="B4" i="1"/>
  <c r="A2" i="1"/>
  <c r="E1" i="6"/>
  <c r="H12" i="1" l="1"/>
  <c r="H68" i="18"/>
  <c r="K12" i="1"/>
  <c r="K19" i="1" s="1"/>
  <c r="K68" i="18"/>
  <c r="C12" i="1"/>
  <c r="C68" i="18"/>
  <c r="J12" i="1"/>
  <c r="J19" i="1" s="1"/>
  <c r="J68" i="18"/>
  <c r="F12" i="1"/>
  <c r="F68" i="18"/>
  <c r="J19" i="17"/>
  <c r="F19" i="17"/>
  <c r="A2" i="2"/>
  <c r="A2" i="17"/>
  <c r="D12" i="1"/>
  <c r="D19" i="1" s="1"/>
  <c r="D68" i="18"/>
  <c r="B12" i="1"/>
  <c r="B68" i="18"/>
  <c r="G12" i="1"/>
  <c r="G19" i="1" s="1"/>
  <c r="G68" i="18"/>
  <c r="H15" i="1"/>
  <c r="D15" i="1"/>
  <c r="I12" i="1"/>
  <c r="I19" i="1" s="1"/>
  <c r="I68" i="18"/>
  <c r="E12" i="1"/>
  <c r="E68" i="18"/>
  <c r="F12" i="3"/>
  <c r="I19" i="17"/>
  <c r="E19" i="17"/>
  <c r="C12" i="4"/>
  <c r="J12" i="4"/>
  <c r="J5" i="4"/>
  <c r="J8" i="17" s="1"/>
  <c r="F12" i="4"/>
  <c r="F5" i="4"/>
  <c r="F8" i="17" s="1"/>
  <c r="I12" i="4"/>
  <c r="I5" i="4"/>
  <c r="I8" i="17" s="1"/>
  <c r="E12" i="4"/>
  <c r="E5" i="4"/>
  <c r="E8" i="17" s="1"/>
  <c r="H12" i="4"/>
  <c r="H5" i="4"/>
  <c r="H8" i="17" s="1"/>
  <c r="D12" i="4"/>
  <c r="D5" i="4"/>
  <c r="D8" i="17" s="1"/>
  <c r="E15" i="4"/>
  <c r="D15" i="4"/>
  <c r="D16" i="4"/>
  <c r="C16" i="4"/>
  <c r="H15" i="4"/>
  <c r="F16" i="4"/>
  <c r="E19" i="1"/>
  <c r="K15" i="1"/>
  <c r="G15" i="1"/>
  <c r="C15" i="1"/>
  <c r="H25" i="2"/>
  <c r="H18" i="17" s="1"/>
  <c r="D25" i="2"/>
  <c r="D18" i="17" s="1"/>
  <c r="K25" i="2"/>
  <c r="K18" i="17" s="1"/>
  <c r="B11" i="11"/>
  <c r="G25" i="2"/>
  <c r="G18" i="17" s="1"/>
  <c r="C25" i="2"/>
  <c r="C18" i="17" s="1"/>
  <c r="H19" i="1"/>
  <c r="B15" i="1"/>
  <c r="C19" i="1"/>
  <c r="I15" i="1"/>
  <c r="E15" i="1"/>
  <c r="F19" i="1"/>
  <c r="C18" i="1"/>
  <c r="C20" i="17" s="1"/>
  <c r="C37" i="1"/>
  <c r="D37" i="1"/>
  <c r="E37" i="1"/>
  <c r="B37" i="1"/>
  <c r="B17" i="15" s="1"/>
  <c r="F13" i="9"/>
  <c r="K12" i="4"/>
  <c r="K13" i="3"/>
  <c r="K12" i="3"/>
  <c r="H13" i="3"/>
  <c r="H12" i="3"/>
  <c r="J13" i="3"/>
  <c r="J12" i="3"/>
  <c r="J25" i="2"/>
  <c r="J18" i="17" s="1"/>
  <c r="F25" i="2"/>
  <c r="F18" i="17" s="1"/>
  <c r="I13" i="3"/>
  <c r="I12" i="3"/>
  <c r="E12" i="3"/>
  <c r="I25" i="2"/>
  <c r="I18" i="17" s="1"/>
  <c r="E25" i="2"/>
  <c r="E18" i="17" s="1"/>
  <c r="G13" i="3"/>
  <c r="F5" i="1"/>
  <c r="F4" i="17" s="1"/>
  <c r="E62" i="18" s="1"/>
  <c r="F9" i="4"/>
  <c r="F24" i="2"/>
  <c r="F17" i="17" s="1"/>
  <c r="I24" i="2"/>
  <c r="I17" i="17" s="1"/>
  <c r="I9" i="4"/>
  <c r="E24" i="2"/>
  <c r="E17" i="17" s="1"/>
  <c r="E9" i="4"/>
  <c r="H24" i="2"/>
  <c r="H17" i="17" s="1"/>
  <c r="H9" i="4"/>
  <c r="D5" i="1"/>
  <c r="D4" i="17" s="1"/>
  <c r="C62" i="18" s="1"/>
  <c r="D24" i="2"/>
  <c r="D17" i="17" s="1"/>
  <c r="D9" i="4"/>
  <c r="J24" i="2"/>
  <c r="J17" i="17" s="1"/>
  <c r="J9" i="4"/>
  <c r="K24" i="2"/>
  <c r="K17" i="17" s="1"/>
  <c r="K9" i="4"/>
  <c r="G24" i="2"/>
  <c r="G17" i="17" s="1"/>
  <c r="G9" i="4"/>
  <c r="C24" i="2"/>
  <c r="C17" i="17" s="1"/>
  <c r="C9" i="4"/>
  <c r="E5" i="1"/>
  <c r="E4" i="17" s="1"/>
  <c r="D62" i="18" s="1"/>
  <c r="E21" i="1"/>
  <c r="E12" i="17" s="1"/>
  <c r="E52" i="18" s="1"/>
  <c r="I5" i="1"/>
  <c r="I4" i="17" s="1"/>
  <c r="H62" i="18" s="1"/>
  <c r="H5" i="1"/>
  <c r="H4" i="17" s="1"/>
  <c r="G62" i="18" s="1"/>
  <c r="J5" i="1"/>
  <c r="J4" i="17" s="1"/>
  <c r="I62" i="18" s="1"/>
  <c r="K5" i="1"/>
  <c r="K4" i="17" s="1"/>
  <c r="J62" i="18" s="1"/>
  <c r="G5" i="1"/>
  <c r="G4" i="17" s="1"/>
  <c r="F62" i="18" s="1"/>
  <c r="C5" i="1"/>
  <c r="C4" i="17" s="1"/>
  <c r="B62" i="18" s="1"/>
  <c r="B3" i="8"/>
  <c r="E3" i="8" s="1"/>
  <c r="E1" i="3"/>
  <c r="H16" i="2"/>
  <c r="D16" i="2"/>
  <c r="G16" i="2"/>
  <c r="I16" i="2"/>
  <c r="E16" i="2"/>
  <c r="K16" i="2"/>
  <c r="C16" i="2"/>
  <c r="J16" i="2"/>
  <c r="F16" i="2"/>
  <c r="D23" i="1" l="1"/>
  <c r="D69" i="18"/>
  <c r="D27" i="2"/>
  <c r="D22" i="17" s="1"/>
  <c r="D58" i="18" s="1"/>
  <c r="D18" i="1"/>
  <c r="D20" i="17" s="1"/>
  <c r="J23" i="1"/>
  <c r="J69" i="18"/>
  <c r="J27" i="2"/>
  <c r="J22" i="17" s="1"/>
  <c r="J58" i="18" s="1"/>
  <c r="J18" i="1"/>
  <c r="J20" i="17" s="1"/>
  <c r="I27" i="2"/>
  <c r="I22" i="17" s="1"/>
  <c r="I58" i="18" s="1"/>
  <c r="I69" i="18"/>
  <c r="I23" i="1"/>
  <c r="I21" i="1"/>
  <c r="I12" i="17" s="1"/>
  <c r="I52" i="18" s="1"/>
  <c r="I18" i="1"/>
  <c r="I20" i="17" s="1"/>
  <c r="G23" i="1"/>
  <c r="G69" i="18"/>
  <c r="G27" i="2"/>
  <c r="G22" i="17" s="1"/>
  <c r="G58" i="18" s="1"/>
  <c r="K23" i="1"/>
  <c r="K69" i="18"/>
  <c r="K27" i="2"/>
  <c r="K22" i="17" s="1"/>
  <c r="K58" i="18" s="1"/>
  <c r="F23" i="1"/>
  <c r="F26" i="2" s="1"/>
  <c r="F69" i="18"/>
  <c r="F27" i="2"/>
  <c r="F22" i="17" s="1"/>
  <c r="F58" i="18" s="1"/>
  <c r="C23" i="1"/>
  <c r="C69" i="18"/>
  <c r="C27" i="2"/>
  <c r="C22" i="17" s="1"/>
  <c r="C58" i="18" s="1"/>
  <c r="H23" i="17"/>
  <c r="I23" i="17"/>
  <c r="I14" i="4"/>
  <c r="I9" i="17" s="1"/>
  <c r="J23" i="17"/>
  <c r="J14" i="4"/>
  <c r="J9" i="17" s="1"/>
  <c r="K23" i="17"/>
  <c r="K14" i="4"/>
  <c r="K9" i="17" s="1"/>
  <c r="E23" i="1"/>
  <c r="E70" i="18" s="1"/>
  <c r="E27" i="2"/>
  <c r="E22" i="17" s="1"/>
  <c r="E58" i="18" s="1"/>
  <c r="E69" i="18"/>
  <c r="C23" i="17"/>
  <c r="H23" i="1"/>
  <c r="H69" i="18"/>
  <c r="H27" i="2"/>
  <c r="H22" i="17" s="1"/>
  <c r="H58" i="18" s="1"/>
  <c r="D23" i="17"/>
  <c r="D14" i="4"/>
  <c r="D9" i="17" s="1"/>
  <c r="E23" i="17"/>
  <c r="E14" i="4"/>
  <c r="E9" i="17" s="1"/>
  <c r="F23" i="17"/>
  <c r="F14" i="4"/>
  <c r="F9" i="17" s="1"/>
  <c r="J16" i="4"/>
  <c r="J15" i="4"/>
  <c r="I15" i="4"/>
  <c r="F15" i="4"/>
  <c r="H16" i="4"/>
  <c r="C15" i="4"/>
  <c r="E16" i="4"/>
  <c r="I16" i="4"/>
  <c r="E32" i="1"/>
  <c r="E26" i="1"/>
  <c r="E26" i="2"/>
  <c r="E10" i="4"/>
  <c r="E24" i="1"/>
  <c r="E6" i="17" s="1"/>
  <c r="D64" i="18" s="1"/>
  <c r="E25" i="1"/>
  <c r="E13" i="17" s="1"/>
  <c r="E53" i="18" s="1"/>
  <c r="K18" i="1"/>
  <c r="K20" i="17" s="1"/>
  <c r="I10" i="4"/>
  <c r="K26" i="2"/>
  <c r="E18" i="1"/>
  <c r="E20" i="17" s="1"/>
  <c r="K20" i="1"/>
  <c r="K5" i="17" s="1"/>
  <c r="J63" i="18" s="1"/>
  <c r="F15" i="9"/>
  <c r="K16" i="4"/>
  <c r="K15" i="4"/>
  <c r="B13" i="4"/>
  <c r="B4" i="11" s="1"/>
  <c r="B14" i="11" s="1"/>
  <c r="I26" i="2"/>
  <c r="K21" i="1"/>
  <c r="K12" i="17" s="1"/>
  <c r="K52" i="18" s="1"/>
  <c r="H18" i="1"/>
  <c r="H20" i="17" s="1"/>
  <c r="K10" i="4"/>
  <c r="K32" i="1"/>
  <c r="H21" i="1"/>
  <c r="H12" i="17" s="1"/>
  <c r="H52" i="18" s="1"/>
  <c r="I25" i="1"/>
  <c r="I13" i="17" s="1"/>
  <c r="I53" i="18" s="1"/>
  <c r="I20" i="1"/>
  <c r="I5" i="17" s="1"/>
  <c r="H63" i="18" s="1"/>
  <c r="I26" i="1"/>
  <c r="I28" i="1" s="1"/>
  <c r="C38" i="1"/>
  <c r="E38" i="1"/>
  <c r="C26" i="2"/>
  <c r="D20" i="1"/>
  <c r="D5" i="17" s="1"/>
  <c r="C63" i="18" s="1"/>
  <c r="G21" i="1"/>
  <c r="G12" i="17" s="1"/>
  <c r="G52" i="18" s="1"/>
  <c r="J21" i="1"/>
  <c r="J12" i="17" s="1"/>
  <c r="J52" i="18" s="1"/>
  <c r="J26" i="1"/>
  <c r="D26" i="1"/>
  <c r="E27" i="1" s="1"/>
  <c r="G26" i="1"/>
  <c r="G28" i="1" s="1"/>
  <c r="D21" i="1"/>
  <c r="D12" i="17" s="1"/>
  <c r="D52" i="18" s="1"/>
  <c r="J20" i="1"/>
  <c r="J5" i="17" s="1"/>
  <c r="I63" i="18" s="1"/>
  <c r="H20" i="1"/>
  <c r="H5" i="17" s="1"/>
  <c r="G63" i="18" s="1"/>
  <c r="B6" i="8"/>
  <c r="E6" i="8" s="1"/>
  <c r="D38" i="1"/>
  <c r="F20" i="1"/>
  <c r="F5" i="17" s="1"/>
  <c r="E63" i="18" s="1"/>
  <c r="J26" i="2"/>
  <c r="C21" i="1"/>
  <c r="C12" i="17" s="1"/>
  <c r="C52" i="18" s="1"/>
  <c r="E20" i="1"/>
  <c r="E5" i="17" s="1"/>
  <c r="D63" i="18" s="1"/>
  <c r="K24" i="1"/>
  <c r="K6" i="17" s="1"/>
  <c r="J64" i="18" s="1"/>
  <c r="G10" i="4"/>
  <c r="B20" i="15"/>
  <c r="F21" i="1"/>
  <c r="F12" i="17" s="1"/>
  <c r="F52" i="18" s="1"/>
  <c r="F14" i="9"/>
  <c r="F26" i="1"/>
  <c r="F28" i="1" s="1"/>
  <c r="G20" i="1"/>
  <c r="G5" i="17" s="1"/>
  <c r="F63" i="18" s="1"/>
  <c r="G24" i="1"/>
  <c r="G6" i="17" s="1"/>
  <c r="F64" i="18" s="1"/>
  <c r="F18" i="1"/>
  <c r="F20" i="17" s="1"/>
  <c r="G18" i="1"/>
  <c r="G20" i="17" s="1"/>
  <c r="B13" i="1"/>
  <c r="B11" i="17" s="1"/>
  <c r="B51" i="18" s="1"/>
  <c r="E28" i="1"/>
  <c r="F27" i="1"/>
  <c r="H13" i="1"/>
  <c r="H11" i="17" s="1"/>
  <c r="H51" i="18" s="1"/>
  <c r="C13" i="1"/>
  <c r="C11" i="17" s="1"/>
  <c r="C51" i="18" s="1"/>
  <c r="E13" i="1"/>
  <c r="E11" i="17" s="1"/>
  <c r="E51" i="18" s="1"/>
  <c r="I13" i="1"/>
  <c r="I11" i="17" s="1"/>
  <c r="I51" i="18" s="1"/>
  <c r="F13" i="1"/>
  <c r="F11" i="17" s="1"/>
  <c r="F51" i="18" s="1"/>
  <c r="J13" i="1"/>
  <c r="J11" i="17" s="1"/>
  <c r="J51" i="18" s="1"/>
  <c r="G13" i="1"/>
  <c r="G11" i="17" s="1"/>
  <c r="G51" i="18" s="1"/>
  <c r="D13" i="1"/>
  <c r="D11" i="17" s="1"/>
  <c r="D51" i="18" s="1"/>
  <c r="K13" i="1"/>
  <c r="K11" i="17" s="1"/>
  <c r="K51" i="18" s="1"/>
  <c r="C3" i="4"/>
  <c r="D3" i="4"/>
  <c r="E3" i="4"/>
  <c r="F3" i="4"/>
  <c r="G3" i="4"/>
  <c r="H3" i="4"/>
  <c r="I3" i="4"/>
  <c r="J3" i="4"/>
  <c r="K3" i="4"/>
  <c r="C3" i="2"/>
  <c r="D3" i="2"/>
  <c r="E3" i="2"/>
  <c r="F3" i="2"/>
  <c r="G3" i="2"/>
  <c r="H3" i="2"/>
  <c r="I3" i="2"/>
  <c r="J3" i="2"/>
  <c r="K3" i="2"/>
  <c r="C3" i="3"/>
  <c r="D3" i="3"/>
  <c r="E3" i="3"/>
  <c r="F3" i="3"/>
  <c r="G3" i="3"/>
  <c r="H3" i="3"/>
  <c r="I3" i="3"/>
  <c r="J3" i="3"/>
  <c r="K3" i="3"/>
  <c r="C3" i="1"/>
  <c r="C3" i="17" s="1"/>
  <c r="C50" i="18" s="1"/>
  <c r="C56" i="18" s="1"/>
  <c r="D3" i="1"/>
  <c r="D3" i="17" s="1"/>
  <c r="D50" i="18" s="1"/>
  <c r="D56" i="18" s="1"/>
  <c r="E3" i="1"/>
  <c r="E3" i="17" s="1"/>
  <c r="E50" i="18" s="1"/>
  <c r="E56" i="18" s="1"/>
  <c r="F3" i="1"/>
  <c r="F3" i="17" s="1"/>
  <c r="F50" i="18" s="1"/>
  <c r="F56" i="18" s="1"/>
  <c r="G3" i="1"/>
  <c r="G3" i="17" s="1"/>
  <c r="G50" i="18" s="1"/>
  <c r="G56" i="18" s="1"/>
  <c r="H3" i="1"/>
  <c r="H3" i="17" s="1"/>
  <c r="H50" i="18" s="1"/>
  <c r="H56" i="18" s="1"/>
  <c r="I3" i="1"/>
  <c r="I3" i="17" s="1"/>
  <c r="I50" i="18" s="1"/>
  <c r="I56" i="18" s="1"/>
  <c r="J3" i="1"/>
  <c r="J3" i="17" s="1"/>
  <c r="J50" i="18" s="1"/>
  <c r="J56" i="18" s="1"/>
  <c r="K3" i="1"/>
  <c r="K3" i="17" s="1"/>
  <c r="K50" i="18" s="1"/>
  <c r="K56" i="18" s="1"/>
  <c r="F21" i="17" l="1"/>
  <c r="F57" i="18" s="1"/>
  <c r="F6" i="12"/>
  <c r="J67" i="18"/>
  <c r="I61" i="18"/>
  <c r="I6" i="12"/>
  <c r="I21" i="17"/>
  <c r="I57" i="18" s="1"/>
  <c r="K6" i="12"/>
  <c r="K21" i="17"/>
  <c r="K57" i="18" s="1"/>
  <c r="I67" i="18"/>
  <c r="H61" i="18"/>
  <c r="D39" i="1"/>
  <c r="B8" i="8"/>
  <c r="B10" i="8" s="1"/>
  <c r="B5" i="10" s="1"/>
  <c r="F25" i="1"/>
  <c r="F13" i="17" s="1"/>
  <c r="F53" i="18" s="1"/>
  <c r="C6" i="12"/>
  <c r="C21" i="17"/>
  <c r="C57" i="18" s="1"/>
  <c r="H32" i="1"/>
  <c r="H70" i="18"/>
  <c r="H25" i="1"/>
  <c r="H13" i="17" s="1"/>
  <c r="H53" i="18" s="1"/>
  <c r="C25" i="1"/>
  <c r="C13" i="17" s="1"/>
  <c r="C53" i="18" s="1"/>
  <c r="C70" i="18"/>
  <c r="C26" i="1"/>
  <c r="C28" i="1" s="1"/>
  <c r="I32" i="1"/>
  <c r="I70" i="18"/>
  <c r="G61" i="18"/>
  <c r="H67" i="18"/>
  <c r="C61" i="18"/>
  <c r="D67" i="18"/>
  <c r="F24" i="1"/>
  <c r="F6" i="17" s="1"/>
  <c r="E64" i="18" s="1"/>
  <c r="C10" i="4"/>
  <c r="D24" i="1"/>
  <c r="D6" i="17" s="1"/>
  <c r="C64" i="18" s="1"/>
  <c r="J24" i="1"/>
  <c r="J6" i="17" s="1"/>
  <c r="I64" i="18" s="1"/>
  <c r="H26" i="2"/>
  <c r="H26" i="1"/>
  <c r="E6" i="12"/>
  <c r="E21" i="17"/>
  <c r="E57" i="18" s="1"/>
  <c r="G32" i="1"/>
  <c r="G70" i="18"/>
  <c r="G26" i="2"/>
  <c r="G25" i="1"/>
  <c r="G13" i="17" s="1"/>
  <c r="G53" i="18" s="1"/>
  <c r="F67" i="18"/>
  <c r="E61" i="18"/>
  <c r="J6" i="12"/>
  <c r="J21" i="17"/>
  <c r="J57" i="18" s="1"/>
  <c r="F32" i="1"/>
  <c r="F70" i="18"/>
  <c r="E67" i="18"/>
  <c r="D61" i="18"/>
  <c r="E8" i="8"/>
  <c r="K67" i="18"/>
  <c r="J61" i="18"/>
  <c r="G67" i="18"/>
  <c r="F61" i="18"/>
  <c r="C67" i="18"/>
  <c r="B61" i="18"/>
  <c r="J28" i="1"/>
  <c r="F10" i="4"/>
  <c r="H24" i="1"/>
  <c r="H6" i="17" s="1"/>
  <c r="G64" i="18" s="1"/>
  <c r="C32" i="1"/>
  <c r="H10" i="4"/>
  <c r="I24" i="1"/>
  <c r="I6" i="17" s="1"/>
  <c r="H64" i="18" s="1"/>
  <c r="K25" i="1"/>
  <c r="K13" i="17" s="1"/>
  <c r="K53" i="18" s="1"/>
  <c r="K70" i="18"/>
  <c r="K26" i="1"/>
  <c r="K28" i="1" s="1"/>
  <c r="J32" i="1"/>
  <c r="J70" i="18"/>
  <c r="J25" i="1"/>
  <c r="J13" i="17" s="1"/>
  <c r="J53" i="18" s="1"/>
  <c r="J10" i="4"/>
  <c r="D32" i="1"/>
  <c r="D70" i="18"/>
  <c r="D26" i="2"/>
  <c r="D10" i="4"/>
  <c r="D25" i="1"/>
  <c r="D13" i="17" s="1"/>
  <c r="D53" i="18" s="1"/>
  <c r="C39" i="1"/>
  <c r="E39" i="1"/>
  <c r="D14" i="11"/>
  <c r="B15" i="11"/>
  <c r="E10" i="8"/>
  <c r="H27" i="1"/>
  <c r="G27" i="1"/>
  <c r="J27" i="1"/>
  <c r="D27" i="1"/>
  <c r="B21" i="15"/>
  <c r="D28" i="1"/>
  <c r="C5" i="10"/>
  <c r="E40" i="1"/>
  <c r="J8" i="9"/>
  <c r="C8" i="9"/>
  <c r="B4" i="8"/>
  <c r="E4" i="8" s="1"/>
  <c r="B8" i="4"/>
  <c r="L8" i="4" s="1"/>
  <c r="B7" i="4"/>
  <c r="L7" i="4" s="1"/>
  <c r="B4" i="4"/>
  <c r="C5" i="4" s="1"/>
  <c r="C8" i="17" s="1"/>
  <c r="B3" i="4"/>
  <c r="K23" i="2"/>
  <c r="K16" i="17" s="1"/>
  <c r="J23" i="2"/>
  <c r="J16" i="17" s="1"/>
  <c r="I23" i="2"/>
  <c r="I16" i="17" s="1"/>
  <c r="H23" i="2"/>
  <c r="H16" i="17" s="1"/>
  <c r="G23" i="2"/>
  <c r="G16" i="17" s="1"/>
  <c r="F23" i="2"/>
  <c r="F16" i="17" s="1"/>
  <c r="E23" i="2"/>
  <c r="E16" i="17" s="1"/>
  <c r="D23" i="2"/>
  <c r="D16" i="17" s="1"/>
  <c r="C23" i="2"/>
  <c r="C16" i="17" s="1"/>
  <c r="B18" i="2"/>
  <c r="B23" i="2" s="1"/>
  <c r="B16" i="17" s="1"/>
  <c r="B13" i="2"/>
  <c r="B12" i="2"/>
  <c r="B11" i="2"/>
  <c r="B10" i="2"/>
  <c r="B24" i="2" s="1"/>
  <c r="B17" i="17" s="1"/>
  <c r="B8" i="2"/>
  <c r="B7" i="2"/>
  <c r="B6" i="2"/>
  <c r="B3" i="2"/>
  <c r="J17" i="3"/>
  <c r="H17" i="3"/>
  <c r="F17" i="3"/>
  <c r="D17" i="3"/>
  <c r="B15" i="3"/>
  <c r="F16" i="3" s="1"/>
  <c r="B11" i="3"/>
  <c r="B10" i="3"/>
  <c r="B9" i="3"/>
  <c r="B8" i="3"/>
  <c r="B4" i="3"/>
  <c r="F5" i="3" s="1"/>
  <c r="B3" i="3"/>
  <c r="L29" i="1"/>
  <c r="B22" i="1"/>
  <c r="B17" i="1"/>
  <c r="B16" i="1"/>
  <c r="B19" i="1" s="1"/>
  <c r="B22" i="2"/>
  <c r="B15" i="17" s="1"/>
  <c r="B3" i="1"/>
  <c r="B3" i="17" s="1"/>
  <c r="B50" i="18" s="1"/>
  <c r="B56" i="18" s="1"/>
  <c r="B67" i="18" s="1"/>
  <c r="K27" i="1" l="1"/>
  <c r="D21" i="17"/>
  <c r="D57" i="18" s="1"/>
  <c r="D6" i="12"/>
  <c r="B25" i="2"/>
  <c r="B18" i="17" s="1"/>
  <c r="B19" i="17"/>
  <c r="G21" i="17"/>
  <c r="G57" i="18" s="1"/>
  <c r="G6" i="12"/>
  <c r="H21" i="17"/>
  <c r="H57" i="18" s="1"/>
  <c r="H6" i="12"/>
  <c r="B69" i="18"/>
  <c r="B27" i="2"/>
  <c r="B22" i="17" s="1"/>
  <c r="B58" i="18" s="1"/>
  <c r="H28" i="1"/>
  <c r="I27" i="1"/>
  <c r="B9" i="4"/>
  <c r="L4" i="4"/>
  <c r="B12" i="4"/>
  <c r="D15" i="11"/>
  <c r="B16" i="11"/>
  <c r="B23" i="1"/>
  <c r="B38" i="1"/>
  <c r="B18" i="15" s="1"/>
  <c r="C9" i="9"/>
  <c r="D9" i="9" s="1"/>
  <c r="D8" i="9"/>
  <c r="J9" i="9"/>
  <c r="K9" i="9" s="1"/>
  <c r="K8" i="9"/>
  <c r="F13" i="3"/>
  <c r="B12" i="3"/>
  <c r="B18" i="1"/>
  <c r="B20" i="17" s="1"/>
  <c r="B21" i="1"/>
  <c r="C20" i="1"/>
  <c r="C5" i="17" s="1"/>
  <c r="B63" i="18" s="1"/>
  <c r="B16" i="2"/>
  <c r="B17" i="3"/>
  <c r="E17" i="3"/>
  <c r="I17" i="3"/>
  <c r="C17" i="3"/>
  <c r="G17" i="3"/>
  <c r="K17" i="3"/>
  <c r="G22" i="2"/>
  <c r="G15" i="17" s="1"/>
  <c r="I22" i="2"/>
  <c r="I15" i="17" s="1"/>
  <c r="K22" i="2"/>
  <c r="K15" i="17" s="1"/>
  <c r="D22" i="2"/>
  <c r="D15" i="17" s="1"/>
  <c r="F22" i="2"/>
  <c r="F15" i="17" s="1"/>
  <c r="H22" i="2"/>
  <c r="H15" i="17" s="1"/>
  <c r="J22" i="2"/>
  <c r="J15" i="17" s="1"/>
  <c r="C22" i="2"/>
  <c r="C15" i="17" s="1"/>
  <c r="E22" i="2"/>
  <c r="E15" i="17" s="1"/>
  <c r="L22" i="1"/>
  <c r="L17" i="1"/>
  <c r="L16" i="1"/>
  <c r="L14" i="1"/>
  <c r="L4" i="1"/>
  <c r="A1" i="3"/>
  <c r="A2" i="4"/>
  <c r="D40" i="1" l="1"/>
  <c r="B22" i="15"/>
  <c r="C40" i="1"/>
  <c r="B39" i="1"/>
  <c r="B12" i="17"/>
  <c r="B52" i="18" s="1"/>
  <c r="B32" i="1"/>
  <c r="B33" i="1" s="1"/>
  <c r="B70" i="18"/>
  <c r="B26" i="2"/>
  <c r="C24" i="1"/>
  <c r="C6" i="17" s="1"/>
  <c r="B64" i="18" s="1"/>
  <c r="B23" i="17"/>
  <c r="C14" i="4"/>
  <c r="C9" i="17" s="1"/>
  <c r="B26" i="1"/>
  <c r="B28" i="1" s="1"/>
  <c r="B40" i="1" s="1"/>
  <c r="B25" i="1"/>
  <c r="B13" i="17" s="1"/>
  <c r="B53" i="18" s="1"/>
  <c r="B10" i="4"/>
  <c r="B16" i="4"/>
  <c r="B15" i="4"/>
  <c r="D16" i="11"/>
  <c r="B17" i="11"/>
  <c r="L15" i="1"/>
  <c r="J10" i="9"/>
  <c r="K10" i="9" s="1"/>
  <c r="C10" i="9"/>
  <c r="D10" i="9" s="1"/>
  <c r="L6" i="1"/>
  <c r="L12" i="1" s="1"/>
  <c r="B6" i="12" l="1"/>
  <c r="B21" i="17"/>
  <c r="B57" i="18" s="1"/>
  <c r="C27" i="1"/>
  <c r="D17" i="11"/>
  <c r="B18" i="11"/>
  <c r="L19" i="1"/>
  <c r="L13" i="1"/>
  <c r="C11" i="9"/>
  <c r="D11" i="9" s="1"/>
  <c r="J11" i="9"/>
  <c r="K11" i="9" s="1"/>
  <c r="B19" i="11" l="1"/>
  <c r="D18" i="11"/>
  <c r="L23" i="1"/>
  <c r="B23" i="15" s="1"/>
  <c r="L18" i="1"/>
  <c r="L21" i="1"/>
  <c r="J12" i="9"/>
  <c r="K12" i="9" s="1"/>
  <c r="C12" i="9"/>
  <c r="D12" i="9" s="1"/>
  <c r="D19" i="11" l="1"/>
  <c r="B20" i="11"/>
  <c r="L25" i="1"/>
  <c r="L26" i="1"/>
  <c r="L28" i="1" s="1"/>
  <c r="C13" i="9"/>
  <c r="D13" i="9" s="1"/>
  <c r="J13" i="9"/>
  <c r="K13" i="9" s="1"/>
  <c r="B21" i="11" l="1"/>
  <c r="D20" i="11"/>
  <c r="J14" i="9"/>
  <c r="K14" i="9" s="1"/>
  <c r="C14" i="9"/>
  <c r="D14" i="9" s="1"/>
  <c r="D21" i="11" l="1"/>
  <c r="B22" i="11"/>
  <c r="C15" i="9"/>
  <c r="D15" i="9" s="1"/>
  <c r="J15" i="9"/>
  <c r="K15" i="9" s="1"/>
  <c r="B23" i="11" l="1"/>
  <c r="D22" i="11"/>
  <c r="J16" i="9"/>
  <c r="K16" i="9" s="1"/>
  <c r="C16" i="9"/>
  <c r="D16" i="9" s="1"/>
  <c r="G12" i="4"/>
  <c r="G23" i="17" l="1"/>
  <c r="G14" i="4"/>
  <c r="G9" i="17" s="1"/>
  <c r="H14" i="4"/>
  <c r="H9" i="17" s="1"/>
  <c r="G16" i="4"/>
  <c r="G15" i="4"/>
  <c r="L12" i="4"/>
  <c r="D23" i="11"/>
  <c r="B27" i="11" s="1"/>
  <c r="B26" i="11"/>
  <c r="B28" i="11" s="1"/>
  <c r="C17" i="9"/>
  <c r="D17" i="9" s="1"/>
  <c r="J17" i="9"/>
  <c r="K17" i="9" s="1"/>
  <c r="B29" i="11" l="1"/>
  <c r="E4" i="11" s="1"/>
  <c r="E6" i="11" s="1"/>
  <c r="B6" i="10"/>
  <c r="J18" i="9"/>
  <c r="K18" i="9" s="1"/>
  <c r="C18" i="9"/>
  <c r="D18" i="9" s="1"/>
  <c r="K19" i="9" l="1"/>
  <c r="D19" i="9"/>
  <c r="K21" i="9" l="1"/>
  <c r="C4" i="10"/>
  <c r="D21" i="9"/>
  <c r="B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5" authorId="0" shapeId="0" xr:uid="{2B86F004-D2E7-414D-AEAA-B43CB8BF2DF0}">
      <text>
        <r>
          <rPr>
            <b/>
            <sz val="9"/>
            <color indexed="81"/>
            <rFont val="Tahoma"/>
            <family val="2"/>
          </rPr>
          <t xml:space="preserve">Vishal: </t>
        </r>
        <r>
          <rPr>
            <sz val="9"/>
            <color indexed="81"/>
            <rFont val="Tahoma"/>
            <family val="2"/>
          </rPr>
          <t>Check for sales growth. If a business is not growing for a few years, or growing slower than the industry and peers, you may give it a pass.</t>
        </r>
      </text>
    </comment>
    <comment ref="A18" authorId="0" shapeId="0" xr:uid="{01A3225E-3E5A-43FF-B83F-84DD88670B4A}">
      <text>
        <r>
          <rPr>
            <b/>
            <sz val="9"/>
            <color indexed="81"/>
            <rFont val="Tahoma"/>
            <family val="2"/>
          </rPr>
          <t xml:space="preserve">Vishal: </t>
        </r>
        <r>
          <rPr>
            <sz val="9"/>
            <color indexed="81"/>
            <rFont val="Tahoma"/>
            <family val="2"/>
          </rPr>
          <t>Check this number especially for firms with debt. It shows the safety of interest payments, and whether the firm has enough profits to pay the same.</t>
        </r>
      </text>
    </comment>
    <comment ref="A21" authorId="0" shapeId="0" xr:uid="{CD4C2DF3-DDFD-4E40-85A1-AA2D4EA191EF}">
      <text>
        <r>
          <rPr>
            <b/>
            <sz val="9"/>
            <color indexed="81"/>
            <rFont val="Tahoma"/>
            <family val="2"/>
          </rPr>
          <t xml:space="preserve">Vishal: </t>
        </r>
        <r>
          <rPr>
            <sz val="9"/>
            <color indexed="81"/>
            <rFont val="Tahoma"/>
            <family val="2"/>
          </rPr>
          <t xml:space="preserve">Important profitability number. Better than Operating Margin. Check out changes in the same over years, and explore reasons for the same. Falling/rising PBT margin may indicate narrowing/expanding moat.
</t>
        </r>
      </text>
    </comment>
    <comment ref="A27" authorId="0" shapeId="0" xr:uid="{326EFA96-0A48-41A1-9BB5-FC5F20E47636}">
      <text>
        <r>
          <rPr>
            <b/>
            <sz val="9"/>
            <color indexed="81"/>
            <rFont val="Tahoma"/>
            <family val="2"/>
          </rPr>
          <t xml:space="preserve">Vishal: </t>
        </r>
        <r>
          <rPr>
            <sz val="9"/>
            <color indexed="81"/>
            <rFont val="Tahoma"/>
            <family val="2"/>
          </rPr>
          <t xml:space="preserve">Better growth number than Net profit growth, because EPS is adjusted for any dilution etc. Seek gradual growth in this number, and be careful of a declining number.
</t>
        </r>
      </text>
    </comment>
    <comment ref="A28" authorId="0" shapeId="0" xr:uid="{052726BD-CDAC-4AA8-838E-BF0BC24D9344}">
      <text>
        <r>
          <rPr>
            <b/>
            <sz val="9"/>
            <color indexed="81"/>
            <rFont val="Tahoma"/>
            <family val="2"/>
          </rPr>
          <t xml:space="preserve">Vishal: </t>
        </r>
        <r>
          <rPr>
            <sz val="9"/>
            <color indexed="81"/>
            <rFont val="Tahoma"/>
            <family val="2"/>
          </rPr>
          <t>Suggests the attractiveness of a firm in the eyes of Mr. Market. Lower P/Es reflect lower attractivenss, and higher reflect higher attractiveness. However, P/Es in isolation tell nothing about the quality of the business, especially when you are looking at short term numbers.</t>
        </r>
      </text>
    </comment>
    <comment ref="A33" authorId="0" shapeId="0" xr:uid="{16417B2D-B9A9-44A5-AF86-1E209B196DB5}">
      <text>
        <r>
          <rPr>
            <b/>
            <sz val="9"/>
            <color indexed="81"/>
            <rFont val="Tahoma"/>
            <family val="2"/>
          </rPr>
          <t xml:space="preserve">Vishal: </t>
        </r>
        <r>
          <rPr>
            <sz val="9"/>
            <color indexed="81"/>
            <rFont val="Tahoma"/>
            <family val="2"/>
          </rPr>
          <t xml:space="preserve">This number shows how much wealth the business has created for shareholders (excluding dividends) for every Rupee it has retained over years. 
This idea is from Warren Buffett who wrote this in his 1984 letter – </t>
        </r>
        <r>
          <rPr>
            <i/>
            <sz val="9"/>
            <color indexed="81"/>
            <rFont val="Tahoma"/>
            <family val="2"/>
          </rPr>
          <t>“For a number of reasons managers like to withhold unrestricted readily distributable earnings from shareholders – to expand the corporate empire over which the managers rule, to operate from a position of exceptional financial comfort, etc. But we believe there is only one valid reason for retention. Unrestricted earnings should be retained only when there is a reasonable prospect – backed preferably by historical evidence or, when appropriate, by a thoughtful analysis of the future – that for every dollar retained by the corporation, at least one dollar of market value will be created for owners. This will happen only if the capital retained produces incremental earnings equal to, or above, those generally available to investors.”</t>
        </r>
        <r>
          <rPr>
            <sz val="9"/>
            <color indexed="81"/>
            <rFont val="Tahoma"/>
            <family val="2"/>
          </rPr>
          <t xml:space="preserve">
</t>
        </r>
        <r>
          <rPr>
            <b/>
            <sz val="9"/>
            <color indexed="81"/>
            <rFont val="Tahoma"/>
            <family val="2"/>
          </rPr>
          <t xml:space="preserve">Formula is - Change in Market Cap over, say, 10 years </t>
        </r>
        <r>
          <rPr>
            <b/>
            <i/>
            <sz val="9"/>
            <color indexed="81"/>
            <rFont val="Tahoma"/>
            <family val="2"/>
          </rPr>
          <t>Divided By</t>
        </r>
        <r>
          <rPr>
            <b/>
            <sz val="9"/>
            <color indexed="81"/>
            <rFont val="Tahoma"/>
            <family val="2"/>
          </rPr>
          <t xml:space="preserve"> Total Retained Earnings during the same period
</t>
        </r>
        <r>
          <rPr>
            <sz val="9"/>
            <color indexed="81"/>
            <rFont val="Tahoma"/>
            <family val="2"/>
          </rPr>
          <t xml:space="preserve">Here, Retained Earnings = Net Profit </t>
        </r>
        <r>
          <rPr>
            <i/>
            <sz val="9"/>
            <color indexed="81"/>
            <rFont val="Tahoma"/>
            <family val="2"/>
          </rPr>
          <t>minus</t>
        </r>
        <r>
          <rPr>
            <sz val="9"/>
            <color indexed="81"/>
            <rFont val="Tahoma"/>
            <family val="2"/>
          </rPr>
          <t xml:space="preserve"> Dividend paid
Bigger the number, more wealth has been created by the business for every Rupee retained, which is good.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D7" authorId="0" shapeId="0" xr:uid="{D21B8C9B-F7E8-4379-A173-B4B61E2A23EE}">
      <text>
        <r>
          <rPr>
            <b/>
            <sz val="9"/>
            <color indexed="81"/>
            <rFont val="Tahoma"/>
            <family val="2"/>
          </rPr>
          <t xml:space="preserve">Vishal: </t>
        </r>
        <r>
          <rPr>
            <sz val="9"/>
            <color indexed="81"/>
            <rFont val="Tahoma"/>
            <family val="2"/>
          </rPr>
          <t>This is the latest "Cash and Bank" number that is updated automatically in this sheet from the "Cash Flow Sheet". This cash number is added to arrive at the Intrinsic Value.</t>
        </r>
      </text>
    </comment>
    <comment ref="C18" authorId="0" shapeId="0" xr:uid="{BD7EEABA-B977-44F3-A105-46F130EA0896}">
      <text>
        <r>
          <rPr>
            <b/>
            <sz val="9"/>
            <color indexed="81"/>
            <rFont val="Tahoma"/>
            <family val="2"/>
          </rPr>
          <t xml:space="preserve">Vishal: </t>
        </r>
        <r>
          <rPr>
            <sz val="9"/>
            <color indexed="81"/>
            <rFont val="Tahoma"/>
            <family val="2"/>
          </rPr>
          <t>This is the price at which the business is sold at the end of the 10th year. This price is calculated using a multiple - like 10x or 15x - to 10th year's calculated FCF.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B6" authorId="0" shapeId="0" xr:uid="{B907545C-986F-49A6-A2C9-9860B85A60A5}">
      <text>
        <r>
          <rPr>
            <b/>
            <sz val="9"/>
            <color indexed="81"/>
            <rFont val="Tahoma"/>
            <family val="2"/>
          </rPr>
          <t xml:space="preserve">Vishal: </t>
        </r>
        <r>
          <rPr>
            <sz val="9"/>
            <color indexed="81"/>
            <rFont val="Tahoma"/>
            <family val="2"/>
          </rPr>
          <t>Instead of trailing 12-months EPS as Graham proposed, I have used the average Net Profit of last five years. The reason I have used Net Profit instead of EPS is so that I arrive at Intrinsic value in terms of market cap and not stock price.</t>
        </r>
      </text>
    </comment>
    <comment ref="B8" authorId="0" shapeId="0" xr:uid="{9E1306AB-D03D-4D37-8CD9-92204909AF28}">
      <text>
        <r>
          <rPr>
            <b/>
            <sz val="9"/>
            <color indexed="81"/>
            <rFont val="Tahoma"/>
            <family val="2"/>
          </rPr>
          <t xml:space="preserve">Vishal: </t>
        </r>
        <r>
          <rPr>
            <sz val="9"/>
            <color indexed="81"/>
            <rFont val="Tahoma"/>
            <family val="2"/>
          </rPr>
          <t xml:space="preserve">Instead of assumed EPS growth rate of next 7-10 years as Graham proposed, I have assumed 50% of last five years CAGR in net profit (to arrive at the lower level of the Intrinsic Value range)
</t>
        </r>
      </text>
    </comment>
    <comment ref="E8" authorId="0" shapeId="0" xr:uid="{830B5BF8-E529-4B7C-A950-6A1901A8CBBC}">
      <text>
        <r>
          <rPr>
            <b/>
            <sz val="9"/>
            <color indexed="81"/>
            <rFont val="Tahoma"/>
            <family val="2"/>
          </rPr>
          <t xml:space="preserve">Vishal: </t>
        </r>
        <r>
          <rPr>
            <sz val="9"/>
            <color indexed="81"/>
            <rFont val="Tahoma"/>
            <family val="2"/>
          </rPr>
          <t xml:space="preserve">Instead of assumed EPS growth rate of next 7-10 years as Graham proposed, I have assumed 100% of last five years CAGR in net profit (to arrive at the upper level of the Intrinsic Value range)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4" authorId="0" shapeId="0" xr:uid="{98F89FE9-CA13-4D67-84A5-09A8705D697E}">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In case of companies earning negative FCF, where this model will not work, you must use a normalized positive FCF as the starting number. This number is your assumption of FCF the business will earn in a normal year, without capex.</t>
        </r>
      </text>
    </comment>
    <comment ref="A6" authorId="0" shapeId="0" xr:uid="{2A61CD75-F089-448D-A31E-A1EC27D566CD}">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below.</t>
        </r>
      </text>
    </comment>
    <comment ref="A7" authorId="0" shapeId="0" xr:uid="{153D9C84-FF23-4046-82BB-D5D1F521FB3D}">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This is approx. 2x India's expected long-term GDP growth rate (in real terms).
The goal of choosing a growth rate is to find a number which is conservative yet not very low or pessimistic, and close to reality in order to capture potential future gains without eliminating too many investment candidates.</t>
        </r>
      </text>
    </comment>
    <comment ref="A8" authorId="0" shapeId="0" xr:uid="{445DD87D-40E3-4943-AE1B-606432D446C4}">
      <text>
        <r>
          <rPr>
            <b/>
            <sz val="9"/>
            <color indexed="81"/>
            <rFont val="Tahoma"/>
            <family val="2"/>
          </rPr>
          <t xml:space="preserve">Safal Niveshak: </t>
        </r>
        <r>
          <rPr>
            <sz val="9"/>
            <color indexed="81"/>
            <rFont val="Tahoma"/>
            <family val="2"/>
          </rPr>
          <t xml:space="preserve">This is the rate at which you discount the future cash flows to the present value.
Look at discount rate as the “annual rate of return” you want to earn from the stock. In other words, if you are looking to invest in a business that has comparatively higher (business) risk than other businesses (like in case of most mid and small cap stocks), you may want to earn a 15% annual return from it. For valuing such businesses, take 15% as the discount rate. In case of relatively safer businesses, earning around 12% annual return over the long term is a good expectation (because these businesses will also provide some stability to your portfolio during bad times). For valuing such businesses, take 12% as the discount rate.
</t>
        </r>
        <r>
          <rPr>
            <b/>
            <sz val="9"/>
            <color indexed="81"/>
            <rFont val="Tahoma"/>
            <family val="2"/>
          </rPr>
          <t xml:space="preserve">Better still, assume a constant discount rate for all companies. I have gradually turned to this model – of taking a constant 12% discount rate for all kind of businesses (safe or risky). (P.S. I earlier assumed a 15% discount rate)
</t>
        </r>
        <r>
          <rPr>
            <sz val="9"/>
            <color indexed="81"/>
            <rFont val="Tahoma"/>
            <family val="2"/>
          </rPr>
          <t>Also, do not adjust the entire risk of a investment in its discount rate. In other words, if a stock is a "riskier" investment than another,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9" authorId="0" shapeId="0" xr:uid="{6090F19E-73A6-4905-8C30-ED6C6970D606}">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1" authorId="1" shapeId="0" xr:uid="{8C074590-16ED-47F4-980B-AF5F987BFBD9}">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9" authorId="0" shapeId="0" xr:uid="{13632878-8864-4D6C-AC40-514621DB527C}">
      <text>
        <r>
          <rPr>
            <b/>
            <sz val="9"/>
            <color indexed="81"/>
            <rFont val="Tahoma"/>
            <family val="2"/>
          </rPr>
          <t>Vishal:</t>
        </r>
        <r>
          <rPr>
            <sz val="9"/>
            <color indexed="81"/>
            <rFont val="Tahoma"/>
            <family val="2"/>
          </rPr>
          <t xml:space="preserve"> Highest EPS growth you should accord to a high quality business is 15% p.a.
</t>
        </r>
      </text>
    </comment>
    <comment ref="A12" authorId="0" shapeId="0" xr:uid="{14CB2B46-B17F-4448-80D1-0A7E0813F05D}">
      <text>
        <r>
          <rPr>
            <b/>
            <sz val="9"/>
            <color indexed="81"/>
            <rFont val="Tahoma"/>
            <family val="2"/>
          </rPr>
          <t xml:space="preserve">Vishal: </t>
        </r>
        <r>
          <rPr>
            <sz val="9"/>
            <color indexed="81"/>
            <rFont val="Tahoma"/>
            <family val="2"/>
          </rPr>
          <t xml:space="preserve">Maximum exit P/E you should accord to a high-quality business is 20x.
</t>
        </r>
      </text>
    </comment>
  </commentList>
</comments>
</file>

<file path=xl/sharedStrings.xml><?xml version="1.0" encoding="utf-8"?>
<sst xmlns="http://schemas.openxmlformats.org/spreadsheetml/2006/main" count="674" uniqueCount="358">
  <si>
    <t>COMPANY NAME</t>
  </si>
  <si>
    <t>SCREENER.IN</t>
  </si>
  <si>
    <t>Narration</t>
  </si>
  <si>
    <t>Trailing</t>
  </si>
  <si>
    <t>Sales</t>
  </si>
  <si>
    <t>Expenses</t>
  </si>
  <si>
    <t>Operating Profit</t>
  </si>
  <si>
    <t>Other Income</t>
  </si>
  <si>
    <t>Depreciation</t>
  </si>
  <si>
    <t>Interest</t>
  </si>
  <si>
    <t>Profit before tax</t>
  </si>
  <si>
    <t>Tax</t>
  </si>
  <si>
    <t>Net profit</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</si>
  <si>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</si>
  <si>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</si>
  <si>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</si>
  <si>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</si>
  <si>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</si>
  <si>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</si>
  <si>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</si>
  <si>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</si>
  <si>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</si>
  <si>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</si>
  <si>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</si>
  <si>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</si>
  <si>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</si>
  <si>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</si>
  <si>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</si>
  <si>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</si>
  <si>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</si>
  <si>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</si>
  <si>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</si>
  <si>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</si>
  <si>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</si>
  <si>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</si>
  <si>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</si>
  <si>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</si>
  <si>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</si>
  <si>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</si>
  <si>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</si>
  <si>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</si>
  <si>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</si>
  <si>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</si>
  <si>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</si>
  <si>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</si>
  <si>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</si>
  <si>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</si>
  <si>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</si>
  <si>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</si>
  <si>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</si>
  <si>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</si>
  <si>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</si>
  <si>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</si>
  <si>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</si>
  <si>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</si>
  <si>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</si>
  <si>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LATEST VERSION</t>
  </si>
  <si>
    <t>CURRENT VERSION</t>
  </si>
  <si>
    <t>HERO MOTOCORP LTD</t>
  </si>
  <si>
    <t>META</t>
  </si>
  <si>
    <t>10 YEARS</t>
  </si>
  <si>
    <t>7 YEARS</t>
  </si>
  <si>
    <t>5 YEARS</t>
  </si>
  <si>
    <t>3 YEARS</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</si>
  <si>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</si>
  <si>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</si>
  <si>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</si>
  <si>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</si>
  <si>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</si>
  <si>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</si>
  <si>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</si>
  <si>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</si>
  <si>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</si>
  <si>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</si>
  <si>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</si>
  <si>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</si>
  <si>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</si>
  <si>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</si>
  <si>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</si>
  <si>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</si>
  <si>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</si>
  <si>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</si>
  <si>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</si>
  <si>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</si>
  <si>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</si>
  <si>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</si>
  <si>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</si>
  <si>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PE Ratio at 0% Growth</t>
  </si>
  <si>
    <t>Year Ended</t>
  </si>
  <si>
    <t>Company Name</t>
  </si>
  <si>
    <t>Operating Profit Margin</t>
  </si>
  <si>
    <t>Net Profit Margin</t>
  </si>
  <si>
    <t>% Growth YOY</t>
  </si>
  <si>
    <t>Cash from Operating Activity (CFO)</t>
  </si>
  <si>
    <t>CFO/Sales</t>
  </si>
  <si>
    <t>CFO/Net Profit</t>
  </si>
  <si>
    <t>Return on Capital Employed</t>
  </si>
  <si>
    <t>Fixed Asset Turnover</t>
  </si>
  <si>
    <t>Debt/Equity</t>
  </si>
  <si>
    <t>Interest Coverage(Times)</t>
  </si>
  <si>
    <t>PBT Margin</t>
  </si>
  <si>
    <t>Selling and Admin Cost</t>
  </si>
  <si>
    <t>Material Cost (% of Sales)</t>
  </si>
  <si>
    <t>Profit before tax (PBT)</t>
  </si>
  <si>
    <t>Check for wide fluctuations in key expense items. For manufacturing firms, check their material costs etc. For services firms, look at employee costs.</t>
  </si>
  <si>
    <t>Long-Term Growth Rate</t>
  </si>
  <si>
    <t>Current Market Cap (Rs Crore)</t>
  </si>
  <si>
    <t>Ben Graham Value (Rs Crore)</t>
  </si>
  <si>
    <t>Avg 5-Yr Net Profit (Rs Crore)</t>
  </si>
  <si>
    <t>Year</t>
  </si>
  <si>
    <t>FCF (Rs Cr)</t>
  </si>
  <si>
    <t>PV of FCF (Rs Cr)</t>
  </si>
  <si>
    <t>Assumed FCF Growth</t>
  </si>
  <si>
    <t>Year 1-3</t>
  </si>
  <si>
    <t>FY18</t>
  </si>
  <si>
    <t>Year 4-6</t>
  </si>
  <si>
    <t>FY19</t>
  </si>
  <si>
    <t>Year 7-10</t>
  </si>
  <si>
    <t>FY20</t>
  </si>
  <si>
    <t>FY21</t>
  </si>
  <si>
    <t>Discount Rate</t>
  </si>
  <si>
    <t>FY22</t>
  </si>
  <si>
    <t>FY23</t>
  </si>
  <si>
    <t>FY24</t>
  </si>
  <si>
    <t>FY25</t>
  </si>
  <si>
    <t>FY26</t>
  </si>
  <si>
    <t>FY27</t>
  </si>
  <si>
    <t>Current Mkt. Cap.</t>
  </si>
  <si>
    <t>Premium/(Discount) to IV</t>
  </si>
  <si>
    <t>Excess Cash (Latest)</t>
  </si>
  <si>
    <t>FCF</t>
  </si>
  <si>
    <t>Average FCF (3 Years)</t>
  </si>
  <si>
    <t>PBT</t>
  </si>
  <si>
    <t>Intrinsic Value</t>
  </si>
  <si>
    <t>Dhandho</t>
  </si>
  <si>
    <t>Ben Graham</t>
  </si>
  <si>
    <t>Years</t>
  </si>
  <si>
    <t>1-5</t>
  </si>
  <si>
    <t>6-10</t>
  </si>
  <si>
    <t>FCF Growth Rate</t>
  </si>
  <si>
    <t>Terminal Growth Rate</t>
  </si>
  <si>
    <t>Growth</t>
  </si>
  <si>
    <t>Present Value</t>
  </si>
  <si>
    <t>Final Calculations</t>
  </si>
  <si>
    <t>Terminal Year</t>
  </si>
  <si>
    <t>PV of Year 1-10 Cash Flows</t>
  </si>
  <si>
    <t>Terminal Value</t>
  </si>
  <si>
    <t>Total PV of Cash Flows</t>
  </si>
  <si>
    <t>Particulars</t>
  </si>
  <si>
    <t>CAGR (5-Yr)</t>
  </si>
  <si>
    <t>Current P/E (x)</t>
  </si>
  <si>
    <t>Exit P/E in the 10th year from now (x, Estimated)</t>
  </si>
  <si>
    <t>CAGR (9-Yr)</t>
  </si>
  <si>
    <t>Estimated CAGR in Net Profit over next 10 years</t>
  </si>
  <si>
    <t>Estimated Net Profit after 10 years (Rs Cr)</t>
  </si>
  <si>
    <t>Net Profit (Rs Crore)</t>
  </si>
  <si>
    <t>Esti. Market Cap (10th year from now; Rs Cr)</t>
  </si>
  <si>
    <t>Current Market Cap (Rs Cr)</t>
  </si>
  <si>
    <t>Discounted Value (Rs Cr)</t>
  </si>
  <si>
    <r>
      <t>Calculations</t>
    </r>
    <r>
      <rPr>
        <sz val="10"/>
        <color rgb="FFC00000"/>
        <rFont val="Arial"/>
        <family val="2"/>
      </rPr>
      <t xml:space="preserve"> </t>
    </r>
    <r>
      <rPr>
        <i/>
        <sz val="10"/>
        <color theme="1"/>
        <rFont val="Arial"/>
        <family val="2"/>
      </rPr>
      <t>(Enter values only in black cells)</t>
    </r>
  </si>
  <si>
    <t>Current Market Cap</t>
  </si>
  <si>
    <t>Dicounted Cash Flow Valuation</t>
  </si>
  <si>
    <t>Initial Cash Flow (Rs Cr)</t>
  </si>
  <si>
    <t>Net Debt Level (Rs Cr)</t>
  </si>
  <si>
    <t>DCF</t>
  </si>
  <si>
    <r>
      <t xml:space="preserve">DCF Value </t>
    </r>
    <r>
      <rPr>
        <b/>
        <i/>
        <sz val="10"/>
        <color theme="1"/>
        <rFont val="Arial"/>
        <family val="2"/>
      </rPr>
      <t>(As calculated in cell B29)</t>
    </r>
  </si>
  <si>
    <t>Expected Returns Model</t>
  </si>
  <si>
    <t>Expected Return</t>
  </si>
  <si>
    <t>Common Size P&amp;L</t>
  </si>
  <si>
    <t>Common Size Balance Sheet</t>
  </si>
  <si>
    <t>Total Liabilities</t>
  </si>
  <si>
    <t>Total Assets</t>
  </si>
  <si>
    <t>Profit Before Tax</t>
  </si>
  <si>
    <t>Net Profit</t>
  </si>
  <si>
    <t>FCF/Sales</t>
  </si>
  <si>
    <t>FCF/Net Profit</t>
  </si>
  <si>
    <t>Lower</t>
  </si>
  <si>
    <t>Higher</t>
  </si>
  <si>
    <t>Cost of Capital/Discount Rate</t>
  </si>
  <si>
    <t>Rs Cr</t>
  </si>
  <si>
    <t>PBT Growth</t>
  </si>
  <si>
    <t>Market Cap</t>
  </si>
  <si>
    <t>Retained Earnings</t>
  </si>
  <si>
    <t>Buffett's $1 Test</t>
  </si>
  <si>
    <t>Other Income as % of Sales</t>
  </si>
  <si>
    <t>Note: See explanation of this model here</t>
  </si>
  <si>
    <t>Buffett Checklist - Read, Remember, Follow!</t>
  </si>
  <si>
    <t>Source - Buffettology by Mary Buffett &amp; David Clark</t>
  </si>
  <si>
    <t>Parameter</t>
  </si>
  <si>
    <t>Explanation</t>
  </si>
  <si>
    <t>Consumer monopoly or commodity?</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</si>
  <si>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</si>
  <si>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</si>
  <si>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</si>
  <si>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Is the company conservatively financed?</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</si>
  <si>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</si>
  <si>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Are earnings strong and do they show an upward trend?</t>
  </si>
  <si>
    <t>Does the company stick with what it knows?</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</si>
  <si>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</si>
  <si>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Has the company been buying back its shares?</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</si>
  <si>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</si>
  <si>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Have retained earnings been invested well?</t>
  </si>
  <si>
    <t>Seek companies where earnings have risen as retained earnings (earnings after paying dividends) have been employed profitably. A great way to screen for such companies is by looking at those that have had consistent earnings and strong return on equity in the past.</t>
  </si>
  <si>
    <t>Is the company’s return on equity above average?</t>
  </si>
  <si>
    <t>Is the company free to adjust prices to inflation?</t>
  </si>
  <si>
    <t>That's what is called "pricing power". Companies with moat (as seen from other screening metrics as suggested above (like high ROE, high grow margins, low debt etc.) are able to adjust prices to inflation without the risk of losing significant volume sales.</t>
  </si>
  <si>
    <t>Does the company need to constantly reinvest in capital?</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</si>
  <si>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</si>
  <si>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Conclusion</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</si>
  <si>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</si>
  <si>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Never Forget</t>
  </si>
  <si>
    <t>Focus on decisions, not outcomes. Look for disconfirming evidence.</t>
  </si>
  <si>
    <t>www.safalniveshak.com</t>
  </si>
  <si>
    <t>Basic Company Details</t>
  </si>
  <si>
    <t>Parameters</t>
  </si>
  <si>
    <t>Details</t>
  </si>
  <si>
    <t>Company</t>
  </si>
  <si>
    <t>Current Stock Price (Rs)</t>
  </si>
  <si>
    <t>Face Value (Rs)</t>
  </si>
  <si>
    <t>No. of Shares (Crore)</t>
  </si>
  <si>
    <t>Market Capitalization (Rs Crore)</t>
  </si>
  <si>
    <t>Net Profit Growth (8-Year CAGR)</t>
  </si>
  <si>
    <t>Average Debt/Equity (5-Years, x)</t>
  </si>
  <si>
    <t>Average Return on Equity (5-Years)</t>
  </si>
  <si>
    <t>Key Financials - Trend</t>
  </si>
  <si>
    <t>Sales Growth (9-Year CAGR)</t>
  </si>
  <si>
    <t>Profit Before Tax Growth (9-Year CAGR)</t>
  </si>
  <si>
    <t>Latest P/E (x)</t>
  </si>
  <si>
    <t>Average P/E (5-Years, x)</t>
  </si>
  <si>
    <t>Cash &amp; Bank**</t>
  </si>
  <si>
    <t>Capex**</t>
  </si>
  <si>
    <t>Ben Graham's Original Formula: Value = EPS x (8.5 + 2G)</t>
  </si>
  <si>
    <t>Here, EPS is the trailing 12 month EPS, 8.5 is the P/E ratio of a stock with 0% growth and g is the growth rate for the next 7-10 years</t>
  </si>
  <si>
    <t>Ben Graham's Revised Formula: Value = [EPS x (8.5 + 2G) x 4.4] / Y</t>
  </si>
  <si>
    <t>Here, 4.4 is what Graham determined to be his minimum required rate of return. At the time of around 1962 when Graham was publicizing his works, the risk free interest rate was 4.4% but to adjust to the present, we divide this number by today’s AAA corporate bond rate, represented by Y in the formula above.</t>
  </si>
  <si>
    <t>Note: I have used Graham's original formula in the above calculations</t>
  </si>
  <si>
    <r>
      <rPr>
        <b/>
        <i/>
        <u/>
        <sz val="10"/>
        <color rgb="FF0000FF"/>
        <rFont val="Arial"/>
        <family val="2"/>
      </rPr>
      <t>Note:</t>
    </r>
    <r>
      <rPr>
        <i/>
        <u/>
        <sz val="10"/>
        <color rgb="FF0000FF"/>
        <rFont val="Arial"/>
        <family val="2"/>
      </rPr>
      <t xml:space="preserve"> See explanation of DCF here</t>
    </r>
  </si>
  <si>
    <r>
      <rPr>
        <i/>
        <sz val="10"/>
        <color rgb="FF0000FF"/>
        <rFont val="Arial"/>
        <family val="2"/>
      </rPr>
      <t xml:space="preserve">Note: </t>
    </r>
    <r>
      <rPr>
        <i/>
        <u/>
        <sz val="10"/>
        <color rgb="FF0000FF"/>
        <rFont val="Arial"/>
        <family val="2"/>
      </rPr>
      <t>See explanation of this model here</t>
    </r>
  </si>
  <si>
    <t>Intrinsic Value Range</t>
  </si>
  <si>
    <t>Profit &amp; Loss Account / Income Statement</t>
  </si>
  <si>
    <t>Check for long term vs short term trends here. Check if the growth over past 3 or 5 years has slowed down / improved compared to long term (7 to 10 years) growth numbers.</t>
  </si>
  <si>
    <t>Dhandho Intrinsic Value Calculation</t>
  </si>
  <si>
    <t>Read the book - The Dhandho Investor by Mohnish Pabrai</t>
  </si>
  <si>
    <t>Dhandho IV - Lower Range</t>
  </si>
  <si>
    <t>Dhandho IV - Higher Range</t>
  </si>
  <si>
    <t>Remember! Give importance to a stock's valuations /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Focus on decisions, not outcomes. Look for disconfirming evidence.</t>
  </si>
  <si>
    <r>
      <rPr>
        <b/>
        <sz val="10"/>
        <color rgb="FFC00000"/>
        <rFont val="Arial"/>
        <family val="2"/>
      </rPr>
      <t xml:space="preserve">Warning! </t>
    </r>
    <r>
      <rPr>
        <b/>
        <sz val="10"/>
        <color theme="1"/>
        <rFont val="Arial"/>
        <family val="2"/>
      </rPr>
      <t>Excel can be a wonderful tool to analyze the past. But it can be a weapon of mass destruction to predict the future! So be very careful of what you are getting into. Here, garbage in will always equal garbage out.</t>
    </r>
  </si>
  <si>
    <r>
      <rPr>
        <b/>
        <sz val="10"/>
        <color rgb="FFC00000"/>
        <rFont val="Arial"/>
        <family val="2"/>
      </rPr>
      <t xml:space="preserve">Remember! </t>
    </r>
    <r>
      <rPr>
        <b/>
        <sz val="10"/>
        <color theme="1"/>
        <rFont val="Arial"/>
        <family val="2"/>
      </rPr>
      <t>Focus on decisions, not outcomes. Look for disconfirming evidence. Calculate. Pray!</t>
    </r>
  </si>
  <si>
    <r>
      <rPr>
        <b/>
        <sz val="10"/>
        <color rgb="FFC00000"/>
        <rFont val="Arial"/>
        <family val="2"/>
      </rPr>
      <t xml:space="preserve">Please! </t>
    </r>
    <r>
      <rPr>
        <b/>
        <sz val="10"/>
        <color theme="1"/>
        <rFont val="Arial"/>
        <family val="2"/>
      </rPr>
      <t>It's your money. Please don't blame me if results of this excel cause you to lose it all! I've designed this excel to aid your own thinking, but you alone are responsible for your actions. I want to live peacefully ever after! I am not a sadist who wants you to do the hard work by analyzing companies on your own. But I'd rather give you a compass instead of a map, for you can confuse map with territory and lose it all. All the best!</t>
    </r>
  </si>
  <si>
    <t>HOW TO USE THIS SPREADSHEET</t>
  </si>
  <si>
    <t>IMPORTANT INSTRUCTIONS</t>
  </si>
  <si>
    <t>2. All financial data of your chosen company will be automatically updated in the sheet you download, except "Cash and Bank" (Balance Sheet sheet) and Capex (Cash Flow sheet) figures, which you must update manually from the company's annual reports. Don’t forget to make these changes as these numbers are key inputs in a few Intrinsic Value calculations.</t>
  </si>
  <si>
    <t>** Manually enter this number; Convert to Rs Crore if not already done in the Annual Reports; Use Cash+Bank+Current Investments from Consolidated Balance Sheet in Annual Reports</t>
  </si>
  <si>
    <t>** Manually enter this number; Convert to Rs Crore if not already done in the Annual Reports; Use "Capital expenditure" number shown under "Cash Flow from Investing Activities" segment of Consolidated Cash Flow Statement available in the Annual Reports</t>
  </si>
  <si>
    <t>4. I have added Comments and Instructions wherever necessary so as to explain the concepts. Read those carefully before working on the sheet.</t>
  </si>
  <si>
    <t>6. I could not find a bug/errors in this spreadsheet, but if you notice some, please email me at - vishal@safalniveshak.com - and I will try to fix the same and update the sheet</t>
  </si>
  <si>
    <t>7. I will keep on updating the sheet from time to time and will update the same on the website. I invite you to share your feedback and thoughts on the sheet so that we can make it better together.</t>
  </si>
  <si>
    <t>1. Ensure that the company whose data you are downloading has numbers at least starting from FY08 (March 2008). This is because if, for instance, the company has financials starting from, say, FY10, you will see incorrect data for FY08 and FY09 (which will be of Hero Motocorp on whose financials I have created this Analysis sheet format)</t>
  </si>
  <si>
    <t>5. This sheet is not a replacement of the work required to read annual reports as part of the analysis process. So please do that along with working on this sheet. You may sometime find some discrepancy in numbers (though rare), but you will know this only when you read annual reports.</t>
  </si>
  <si>
    <t>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</si>
  <si>
    <t>Last 5-Years' CAGR</t>
  </si>
  <si>
    <t>EXPLANATION</t>
  </si>
  <si>
    <t>Ben Graham Formula (Low Range)</t>
  </si>
  <si>
    <t>Ben Graham Formula (High Range)</t>
  </si>
  <si>
    <t>4. DON’T touch any cell except the black ones, where you are required to update the numbers manually from Annual Reports (just Cash and Capex numbers) or where you may change the growth assumptions etc.</t>
  </si>
  <si>
    <t>3. You may update the sheet and add your own analysis, formulae etc. and then upload again to Screener.in site using the Step 2 mentioned above. But DON'T touch the sheet titled "Data Sheet" because this will cause errors in your future downloads.</t>
  </si>
  <si>
    <t>Balance Sheet</t>
  </si>
  <si>
    <t>Cash Flow Statement</t>
  </si>
  <si>
    <t>DCF as % of Current Mkt Cap</t>
  </si>
  <si>
    <t>Rising earnings serve as a good catalyst for stock prices. So seek companies with strong, consistent, and expanding earnings (profits). Seek companies with 5/10 year earnings per share growth greater than 25% (along 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</si>
  <si>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Consider it a positive sign when a company is able to earn above-average (better than competitors) returns on equity without employing much debt. Average return on equity for Indian companies over the last 10 years is approximately 16%. Thus, seek companies that earn at least this much (16%) or more than this. Again, consistency is the key here.</t>
  </si>
  <si>
    <t>Current Market Cap.</t>
  </si>
  <si>
    <r>
      <rPr>
        <b/>
        <sz val="10"/>
        <color theme="1"/>
        <rFont val="Arial"/>
        <family val="2"/>
      </rPr>
      <t>P.S.</t>
    </r>
    <r>
      <rPr>
        <sz val="10"/>
        <color theme="1"/>
        <rFont val="Arial"/>
        <family val="2"/>
      </rPr>
      <t xml:space="preserve"> In case of companies earning negative FCF, where this model will not work, you must use a normalized positive FCF as the starting number. This number is your assumption of FCF the business will earn in a normal year, without capex. Check the history of this business while arriving at your assumption, and use your judgment wisely without twisting the model to fit your version of reality.</t>
    </r>
  </si>
  <si>
    <t>8. This excel won't work for banking and financial services companies.</t>
  </si>
  <si>
    <r>
      <rPr>
        <b/>
        <sz val="11"/>
        <color theme="1"/>
        <rFont val="Calibri"/>
        <family val="2"/>
        <scheme val="minor"/>
      </rPr>
      <t>Step 1 -</t>
    </r>
    <r>
      <rPr>
        <sz val="11"/>
        <color theme="1"/>
        <rFont val="Calibri"/>
        <family val="2"/>
        <scheme val="minor"/>
      </rPr>
      <t xml:space="preserve"> This spreadsheet works </t>
    </r>
    <r>
      <rPr>
        <i/>
        <sz val="11"/>
        <color theme="1"/>
        <rFont val="Calibri"/>
        <family val="2"/>
        <scheme val="minor"/>
      </rPr>
      <t>only</t>
    </r>
    <r>
      <rPr>
        <sz val="11"/>
        <color theme="1"/>
        <rFont val="Calibri"/>
        <family val="2"/>
        <scheme val="minor"/>
      </rPr>
      <t xml:space="preserve"> on Screener.in. The first step is to create a free account here - https://www.screener.in/register/</t>
    </r>
  </si>
  <si>
    <r>
      <rPr>
        <b/>
        <sz val="11"/>
        <color theme="1"/>
        <rFont val="Calibri"/>
        <family val="2"/>
        <scheme val="minor"/>
      </rPr>
      <t xml:space="preserve">Step 2 - </t>
    </r>
    <r>
      <rPr>
        <sz val="11"/>
        <color theme="1"/>
        <rFont val="Calibri"/>
        <family val="2"/>
        <scheme val="minor"/>
      </rPr>
      <t>After creating your account, while you are logged in to Screener.in website, visit this page - https://www.screener.in/excel/ - and upload this excel file.</t>
    </r>
  </si>
  <si>
    <r>
      <rPr>
        <b/>
        <sz val="10"/>
        <color theme="1"/>
        <rFont val="Arial"/>
        <family val="2"/>
      </rPr>
      <t>Step 3 -</t>
    </r>
    <r>
      <rPr>
        <sz val="10"/>
        <color theme="1"/>
        <rFont val="Arial"/>
        <family val="2"/>
      </rPr>
      <t xml:space="preserve"> Visit the home page of Screener.in and choose a company of your choice. Once you do that, you will see details of your chosen company. Scroll down and come to the first financial statement table called "Quarterly Results" and click on "View Consolidated". Now, all data you see for this company will be consolidated.</t>
    </r>
  </si>
  <si>
    <r>
      <rPr>
        <b/>
        <sz val="10"/>
        <color theme="1"/>
        <rFont val="Arial"/>
        <family val="2"/>
      </rPr>
      <t>Step 4 -</t>
    </r>
    <r>
      <rPr>
        <sz val="10"/>
        <color theme="1"/>
        <rFont val="Arial"/>
        <family val="2"/>
      </rPr>
      <t xml:space="preserve"> Scroll back to the top of the page, and you will see a button "Export to Excel" on the right side. Click the button and the company's financial data will be exported in an excel file in the exact format as "Safal Niveshak's Stock Analysis Excel Ver. 3.0". Now onwards, any excel you export for any company on Screener.in will be downloaded in this very format.</t>
    </r>
  </si>
  <si>
    <r>
      <rPr>
        <b/>
        <sz val="10"/>
        <color theme="1"/>
        <rFont val="Arial"/>
        <family val="2"/>
      </rPr>
      <t>Step 5 -</t>
    </r>
    <r>
      <rPr>
        <sz val="10"/>
        <color theme="1"/>
        <rFont val="Arial"/>
        <family val="2"/>
      </rPr>
      <t xml:space="preserve"> Email me your love and testimonial for helping you with this excel. :-)</t>
    </r>
  </si>
  <si>
    <r>
      <rPr>
        <b/>
        <sz val="10"/>
        <color theme="1"/>
        <rFont val="Arial"/>
        <family val="2"/>
      </rPr>
      <t>Note:</t>
    </r>
    <r>
      <rPr>
        <sz val="10"/>
        <color theme="1"/>
        <rFont val="Arial"/>
        <family val="2"/>
      </rPr>
      <t xml:space="preserve"> All data is sourced from Screener.in</t>
    </r>
  </si>
  <si>
    <t>Operating Margin</t>
  </si>
  <si>
    <t>Net Profit Growth</t>
  </si>
  <si>
    <t>Net Margin</t>
  </si>
  <si>
    <t>Key Ratios</t>
  </si>
  <si>
    <t>Free Cash Flow (Rs Cr)</t>
  </si>
  <si>
    <t>Interest Coverage (Times)</t>
  </si>
  <si>
    <t>% Growth YoY</t>
  </si>
  <si>
    <t>Operating Cash Flow Growth</t>
  </si>
  <si>
    <t>Free Cash Flow Growth</t>
  </si>
  <si>
    <t>FCF Growth YoY</t>
  </si>
  <si>
    <t>Debt/Assets</t>
  </si>
  <si>
    <t>Data for Charts</t>
  </si>
  <si>
    <t>Margins</t>
  </si>
  <si>
    <t>Management Effectiveness</t>
  </si>
  <si>
    <t>ROE</t>
  </si>
  <si>
    <t>ROCE</t>
  </si>
  <si>
    <t>Dividend Growth</t>
  </si>
  <si>
    <t>Revenue &amp; Profit Growth</t>
  </si>
  <si>
    <t>Revenue Growth</t>
  </si>
  <si>
    <t>Revenue &amp; Profit</t>
  </si>
  <si>
    <t>Revenue</t>
  </si>
  <si>
    <t>FY09</t>
  </si>
  <si>
    <t>FY10</t>
  </si>
  <si>
    <t>FY11</t>
  </si>
  <si>
    <t>FY12</t>
  </si>
  <si>
    <t>FY13</t>
  </si>
  <si>
    <t>FY14</t>
  </si>
  <si>
    <t>FY15</t>
  </si>
  <si>
    <t>FY16</t>
  </si>
  <si>
    <t>FY17</t>
  </si>
  <si>
    <t>Hero Moto</t>
  </si>
  <si>
    <t>Bajaj Auto</t>
  </si>
  <si>
    <t>TVS</t>
  </si>
  <si>
    <t>Growth (YoY)</t>
  </si>
  <si>
    <t>% of Industry</t>
  </si>
  <si>
    <t>CAGR</t>
  </si>
  <si>
    <t>Change</t>
  </si>
  <si>
    <t>Revenue Growth and Revenue Share</t>
  </si>
  <si>
    <t>Profit (PBT) Growth and PBT Share</t>
  </si>
  <si>
    <t>FCF Growth and FCF Share</t>
  </si>
  <si>
    <t>Growth and Margin Trends</t>
  </si>
  <si>
    <t>Hero</t>
  </si>
  <si>
    <t>Bajaj</t>
  </si>
  <si>
    <t>10 Years</t>
  </si>
  <si>
    <t>7 Years</t>
  </si>
  <si>
    <t>5 Years</t>
  </si>
  <si>
    <t>3 Years</t>
  </si>
  <si>
    <t>Key Ratios Comparison</t>
  </si>
  <si>
    <t>Hero maintains the higest revenue share of the industry. However, TVS has shown a gradual increase over years, and at the cost of Hero as Bajaj has maintained its share.</t>
  </si>
  <si>
    <t>Hero, which had had lost on on the profit share in the middle years, has recouped some of its losses in the last few years. Bajaj, which saw its profit share jump in the initial years, has given away some of tht, but still holds the higest profit share. Suggests it is the most profitable company out of the three. TVS has seen a gradual increase here too, but remains the distant third.</t>
  </si>
  <si>
    <t>This is a very critical number. While TVS has shown the higest growth in FCF, Bajaj keeps the lion's share here too, like it does in profits. Almost all of Bajaj's gains have come from Hero's decline in FCF share, though the latter has still done well.</t>
  </si>
  <si>
    <t xml:space="preserve">TVS has led the growth charts on all accounts, and the market seems to have rewarded it for the same, given the higest P/E across time frames. Bajaj has been the weaker in terms of growth as compared to Hero, but much better in terms of profitability, and thus an almost equal P/E multiple over years </t>
  </si>
  <si>
    <t>It's Bajaj all the way, thanks to the premium nature of its bikes compared to Hero's and TVS's. TVS, despite the superlative growth, has not managed to improve much on the profitability front.</t>
  </si>
  <si>
    <t>Hero ranks second, after Bajaj, on profitabilty, but has faster cash collection and inventory turns. Hero also outscores Bajaj and TVS on ROE and ROCE parameters. This looks commendable given the company's scale of operations.</t>
  </si>
  <si>
    <t>Safal Niveshak Stock Analysis Excel (Ver. 4.0)</t>
  </si>
  <si>
    <t>TVS Motor</t>
  </si>
  <si>
    <t>All are debt free, so no interest cost expense</t>
  </si>
  <si>
    <t>Bajaj is the most profitable, Hero has improved a lot</t>
  </si>
  <si>
    <t>Bajaj has the highest dividend payout, TVS the lowest (reflects from their respective cash generation, where TVS also scores the lowest)</t>
  </si>
  <si>
    <t>Bajaj holds the most amount of cash and short term investments, and thus the highest other income/interest income</t>
  </si>
  <si>
    <t>TVS spends the most of its sales on selling costs, mahybe because of its small size and tough competition. Hero also spends a lot, despite its size.</t>
  </si>
  <si>
    <t>TVS would be most hurt in case of material cost increases, as these costs form the largest/higest % of its sales. Also shows in its lowest margin in the industry</t>
  </si>
  <si>
    <t>Observations</t>
  </si>
  <si>
    <t>Hero and Bajaj have the best balance sheets, with high share of Equity (Reserves)</t>
  </si>
  <si>
    <t>TVS has the highest debt, Hero and Bajaj are debt-free (remember they generate the most of cash)</t>
  </si>
  <si>
    <t>Bajaj has the lightest business in terms of fixed assets, which also shows in its lowest depreciation (as % of revenue)</t>
  </si>
  <si>
    <t>Hero is spending the most in building up new capacities, Bajaj almost nothing</t>
  </si>
  <si>
    <t>Bajaj looks like a cash/investments business and not auto business :-)</t>
  </si>
  <si>
    <t>Common Size Analysis - Balance Sheet (% of Total Assets/Liabilities)</t>
  </si>
  <si>
    <t>Common Size Analysis - Income Statement (% of Revenue)</t>
  </si>
  <si>
    <t>Explore more by reading what constitutes Other Assets - Read notes and schedules in respective annual reports</t>
  </si>
  <si>
    <t>Faster cash collection for Hero and Bajaj means lower receivables</t>
  </si>
  <si>
    <t>Faster inventory turns for Hero and Bajaj means lower inventories they hold as compared to TVS</t>
  </si>
  <si>
    <t>Bajaj holds the highest amount of cash</t>
  </si>
  <si>
    <t>Explore more by reading what constitutes Other Liabilities - Read notes and schedules in respective annual reports</t>
  </si>
  <si>
    <t>No one's raised additional (or meaningful) equity capital over years</t>
  </si>
  <si>
    <r>
      <rPr>
        <b/>
        <sz val="10"/>
        <color theme="1"/>
        <rFont val="Arial"/>
        <family val="2"/>
      </rPr>
      <t>Note:</t>
    </r>
    <r>
      <rPr>
        <sz val="10"/>
        <color theme="1"/>
        <rFont val="Arial"/>
        <family val="2"/>
      </rPr>
      <t xml:space="preserve"> Data for this sheet is already available in other sheets of this excel document</t>
    </r>
  </si>
  <si>
    <t>Competitive Analysis - Hero MotoCorp Vs Bajaj Auto Vs TVS 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</si>
</sst>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_ * #,##0.00_ ;_ * \-#,##0.00_ ;_ * &quot;-&quot;??_ ;_ @_ "/>
    <numFmt numFmtId="165" formatCode="[$-409]mmm\-yy;@"/>
    <numFmt numFmtId="166" formatCode="_(* #,##0_);_(* \(#,##0\);_(* &quot;-&quot;??_);_(@_)"/>
    <numFmt numFmtId="167" formatCode="_(* #,##0.0_);_(* \(#,##0.0\);_(* &quot;-&quot;??_);_(@_)"/>
    <numFmt numFmtId="168" formatCode="[$-409]mmm/yy;@"/>
    <numFmt numFmtId="169" formatCode="_ * #,##0.0_ ;_ * \-#,##0.0_ ;_ * &quot;-&quot;??_ ;_ @_ "/>
    <numFmt numFmtId="170" formatCode="_ * #,##0_ ;_ * \-#,##0_ ;_ * &quot;-&quot;??_ ;_ @_ "/>
    <numFmt numFmtId="171" formatCode="0.0%"/>
    <numFmt numFmtId="172" formatCode="#,##0.000_);[Red]\(#,##0.000\)"/>
    <numFmt numFmtId="173" formatCode="0.0000%"/>
  </numFmts>
  <fonts count="5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5"/>
      <color theme="1"/>
      <name val="Arial"/>
      <family val="2"/>
    </font>
    <font>
      <b/>
      <sz val="10"/>
      <color theme="1"/>
      <name val="Arial"/>
      <family val="2"/>
    </font>
    <font>
      <sz val="10"/>
      <color theme="1"/>
      <name val="Arial"/>
      <family val="2"/>
    </font>
    <font>
      <b/>
      <sz val="10"/>
      <color theme="0"/>
      <name val="Arial"/>
      <family val="2"/>
    </font>
    <font>
      <i/>
      <sz val="10"/>
      <color theme="1"/>
      <name val="Arial"/>
      <family val="2"/>
    </font>
    <font>
      <sz val="10"/>
      <color theme="0"/>
      <name val="Arial"/>
      <family val="2"/>
    </font>
    <font>
      <sz val="10"/>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
      <sz val="10"/>
      <color rgb="FFC00000"/>
      <name val="Arial"/>
      <family val="2"/>
    </font>
    <font>
      <b/>
      <sz val="10"/>
      <color theme="1" tint="0.14999847407452621"/>
      <name val="Arial"/>
      <family val="2"/>
    </font>
    <font>
      <sz val="10"/>
      <color theme="1" tint="0.14999847407452621"/>
      <name val="Arial"/>
      <family val="2"/>
    </font>
    <font>
      <i/>
      <sz val="10"/>
      <color theme="0"/>
      <name val="Arial"/>
      <family val="2"/>
    </font>
    <font>
      <b/>
      <i/>
      <sz val="9"/>
      <color indexed="81"/>
      <name val="Tahoma"/>
      <family val="2"/>
    </font>
    <font>
      <b/>
      <sz val="10"/>
      <name val="Arial"/>
      <family val="2"/>
    </font>
    <font>
      <i/>
      <sz val="10"/>
      <color rgb="FFC00000"/>
      <name val="Arial"/>
      <family val="2"/>
    </font>
    <font>
      <b/>
      <sz val="10"/>
      <color rgb="FFC00000"/>
      <name val="Arial"/>
      <family val="2"/>
    </font>
    <font>
      <b/>
      <i/>
      <sz val="10"/>
      <color theme="1"/>
      <name val="Arial"/>
      <family val="2"/>
    </font>
    <font>
      <sz val="10"/>
      <color theme="1"/>
      <name val="Calibri"/>
      <family val="2"/>
      <scheme val="minor"/>
    </font>
    <font>
      <i/>
      <u/>
      <sz val="10"/>
      <color rgb="FF0000FF"/>
      <name val="Arial"/>
      <family val="2"/>
    </font>
    <font>
      <b/>
      <i/>
      <u/>
      <sz val="10"/>
      <color rgb="FF0000FF"/>
      <name val="Arial"/>
      <family val="2"/>
    </font>
    <font>
      <i/>
      <sz val="10"/>
      <color rgb="FF0000FF"/>
      <name val="Arial"/>
      <family val="2"/>
    </font>
    <font>
      <sz val="10"/>
      <color theme="1"/>
      <name val="Arial"/>
      <family val="2"/>
    </font>
    <font>
      <b/>
      <sz val="10"/>
      <color theme="1"/>
      <name val="Arial"/>
      <family val="2"/>
    </font>
    <font>
      <b/>
      <sz val="10"/>
      <color theme="0"/>
      <name val="Arial"/>
      <family val="2"/>
    </font>
    <font>
      <i/>
      <sz val="10"/>
      <color theme="1"/>
      <name val="Arial"/>
      <family val="2"/>
    </font>
    <font>
      <i/>
      <sz val="9"/>
      <color indexed="81"/>
      <name val="Tahoma"/>
      <family val="2"/>
    </font>
    <font>
      <b/>
      <sz val="10"/>
      <color theme="1"/>
      <name val="Arial"/>
      <family val="2"/>
    </font>
    <font>
      <sz val="10"/>
      <color theme="1"/>
      <name val="Arial"/>
      <family val="2"/>
    </font>
    <font>
      <sz val="20"/>
      <color theme="1"/>
      <name val="Arial Black"/>
      <family val="2"/>
    </font>
    <font>
      <b/>
      <sz val="10"/>
      <color theme="1"/>
      <name val="Arial"/>
      <family val="2"/>
    </font>
    <font>
      <sz val="10"/>
      <color theme="1"/>
      <name val="Arial"/>
      <family val="2"/>
    </font>
    <font>
      <b/>
      <sz val="10"/>
      <color theme="0"/>
      <name val="Arial"/>
      <family val="2"/>
    </font>
    <font>
      <sz val="10"/>
      <color theme="0"/>
      <name val="Arial"/>
      <family val="2"/>
    </font>
    <font>
      <i/>
      <sz val="10"/>
      <color theme="1"/>
      <name val="Arial"/>
      <family val="2"/>
    </font>
    <font>
      <b/>
      <i/>
      <sz val="10"/>
      <color rgb="FFC00000"/>
      <name val="Arial"/>
      <family val="2"/>
    </font>
    <font>
      <b/>
      <u/>
      <sz val="12"/>
      <color rgb="FF0000FF"/>
      <name val="Arial"/>
      <family val="2"/>
    </font>
    <font>
      <sz val="10"/>
      <color theme="1"/>
      <name val="Arial"/>
      <family val="2"/>
    </font>
    <font>
      <b/>
      <u/>
      <sz val="12"/>
      <color rgb="FF0000FF"/>
      <name val="Arial"/>
      <family val="2"/>
    </font>
    <font>
      <b/>
      <sz val="12"/>
      <color rgb="FFC00000"/>
      <name val="Arial"/>
      <family val="2"/>
    </font>
    <font>
      <i/>
      <sz val="11"/>
      <color theme="1"/>
      <name val="Calibri"/>
      <family val="2"/>
      <scheme val="minor"/>
    </font>
    <font>
      <i/>
      <sz val="10"/>
      <color theme="1"/>
      <name val="Arial"/>
      <family val="2"/>
    </font>
    <font>
      <sz val="10"/>
      <color rgb="FF0070C0"/>
      <name val="Arial"/>
      <family val="2"/>
    </font>
    <font>
      <i/>
      <sz val="10"/>
      <color rgb="FF0070C0"/>
      <name val="Arial"/>
      <family val="2"/>
    </font>
    <font>
      <b/>
      <sz val="10"/>
      <color rgb="FF0070C0"/>
      <name val="Arial"/>
      <family val="2"/>
    </font>
  </fonts>
  <fills count="11">
    <fill>
      <patternFill patternType="none"/>
    </fill>
    <fill>
      <patternFill patternType="gray125"/>
    </fill>
    <fill>
      <patternFill patternType="solid">
        <fgColor theme="9"/>
      </patternFill>
    </fill>
    <fill>
      <patternFill patternType="solid">
        <fgColor rgb="FF0275D8"/>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2" fillId="0" borderId="0" applyFont="0" applyFill="0" applyBorder="0" applyAlignment="0" applyProtection="0"/>
  </cellStyleXfs>
  <cellXfs count="485">
    <xf numFmtId="0" fontId="0" fillId="0" borderId="0" xfId="0"/>
    <xf numFmtId="0" fontId="1" fillId="0" borderId="0" xfId="0" applyFont="1" applyBorder="1"/>
    <xf numFmtId="0" fontId="0" fillId="0" borderId="0" xfId="0" applyBorder="1"/>
    <xf numFmtId="0" fontId="6" fillId="0" borderId="0" xfId="0" applyFont="1" applyBorder="1"/>
    <xf numFmtId="0" fontId="0" fillId="0" borderId="0" xfId="0" applyBorder="1" applyAlignment="1">
      <alignment horizontal="left"/>
    </xf>
    <xf numFmtId="0" fontId="5" fillId="0" borderId="0" xfId="2" applyFont="1" applyBorder="1" applyAlignment="1" applyProtection="1">
      <alignment horizontal="left"/>
    </xf>
    <xf numFmtId="0" fontId="5" fillId="0" borderId="0" xfId="2" applyFont="1" applyBorder="1" applyAlignment="1" applyProtection="1"/>
    <xf numFmtId="0" fontId="8" fillId="0" borderId="0" xfId="0" applyFont="1" applyBorder="1"/>
    <xf numFmtId="0" fontId="9" fillId="0" borderId="0" xfId="0" applyFont="1"/>
    <xf numFmtId="165" fontId="10" fillId="3" borderId="0" xfId="0" applyNumberFormat="1" applyFont="1" applyFill="1" applyBorder="1" applyAlignment="1">
      <alignment horizontal="center"/>
    </xf>
    <xf numFmtId="0" fontId="8" fillId="0" borderId="0" xfId="0" applyFont="1" applyFill="1" applyBorder="1"/>
    <xf numFmtId="164" fontId="8" fillId="0" borderId="0" xfId="1" applyFont="1" applyBorder="1"/>
    <xf numFmtId="0" fontId="11" fillId="0" borderId="0" xfId="0" applyFont="1" applyBorder="1"/>
    <xf numFmtId="0" fontId="9" fillId="0" borderId="0" xfId="0" applyFont="1" applyBorder="1"/>
    <xf numFmtId="164" fontId="9" fillId="0" borderId="0" xfId="1" applyFont="1" applyBorder="1"/>
    <xf numFmtId="0" fontId="9" fillId="0" borderId="1" xfId="0" applyFont="1" applyBorder="1"/>
    <xf numFmtId="0" fontId="9" fillId="5" borderId="1" xfId="0" applyFont="1" applyFill="1" applyBorder="1" applyAlignment="1">
      <alignment horizontal="right"/>
    </xf>
    <xf numFmtId="168" fontId="9" fillId="5" borderId="1" xfId="0" applyNumberFormat="1" applyFont="1" applyFill="1" applyBorder="1" applyAlignment="1">
      <alignment horizontal="right"/>
    </xf>
    <xf numFmtId="0" fontId="9" fillId="5" borderId="0" xfId="0" applyFont="1" applyFill="1" applyAlignment="1">
      <alignment horizontal="right"/>
    </xf>
    <xf numFmtId="167" fontId="9" fillId="5" borderId="1" xfId="1" applyNumberFormat="1" applyFont="1" applyFill="1" applyBorder="1" applyAlignment="1">
      <alignment horizontal="right"/>
    </xf>
    <xf numFmtId="0" fontId="8" fillId="0" borderId="0" xfId="0" applyFont="1"/>
    <xf numFmtId="166" fontId="9" fillId="0" borderId="0" xfId="1" applyNumberFormat="1" applyFont="1"/>
    <xf numFmtId="0" fontId="9" fillId="0" borderId="0" xfId="0" applyFont="1" applyAlignment="1">
      <alignment horizontal="right"/>
    </xf>
    <xf numFmtId="9" fontId="9" fillId="0" borderId="0" xfId="4" applyFont="1"/>
    <xf numFmtId="0" fontId="8" fillId="0" borderId="0" xfId="0" applyFont="1" applyFill="1" applyBorder="1" applyAlignment="1"/>
    <xf numFmtId="0" fontId="9" fillId="0" borderId="0" xfId="0" applyFont="1" applyFill="1" applyBorder="1"/>
    <xf numFmtId="0" fontId="13" fillId="0" borderId="0" xfId="0" applyFont="1" applyFill="1" applyBorder="1"/>
    <xf numFmtId="165" fontId="10" fillId="3" borderId="0" xfId="1" applyNumberFormat="1" applyFont="1" applyFill="1" applyBorder="1"/>
    <xf numFmtId="165" fontId="13" fillId="0" borderId="0" xfId="1" applyNumberFormat="1" applyFont="1" applyFill="1" applyBorder="1"/>
    <xf numFmtId="43" fontId="9" fillId="0" borderId="0" xfId="1" applyNumberFormat="1" applyFont="1" applyBorder="1"/>
    <xf numFmtId="170" fontId="9" fillId="0" borderId="1" xfId="1" applyNumberFormat="1" applyFont="1" applyBorder="1"/>
    <xf numFmtId="166" fontId="9" fillId="7" borderId="1" xfId="1" applyNumberFormat="1" applyFont="1" applyFill="1" applyBorder="1" applyAlignment="1">
      <alignment horizontal="right"/>
    </xf>
    <xf numFmtId="167" fontId="9" fillId="0" borderId="1" xfId="1" applyNumberFormat="1" applyFont="1" applyFill="1" applyBorder="1" applyAlignment="1">
      <alignment horizontal="right"/>
    </xf>
    <xf numFmtId="0" fontId="10" fillId="4" borderId="1" xfId="0" applyFont="1" applyFill="1" applyBorder="1"/>
    <xf numFmtId="0" fontId="9" fillId="0" borderId="1" xfId="0" applyFont="1" applyBorder="1" applyAlignment="1">
      <alignment horizontal="center"/>
    </xf>
    <xf numFmtId="166" fontId="18" fillId="0" borderId="1" xfId="1" applyNumberFormat="1" applyFont="1" applyBorder="1" applyAlignment="1">
      <alignment horizontal="right"/>
    </xf>
    <xf numFmtId="166" fontId="9" fillId="0" borderId="1" xfId="1" applyNumberFormat="1" applyFont="1" applyBorder="1" applyAlignment="1">
      <alignment horizontal="right"/>
    </xf>
    <xf numFmtId="166" fontId="9" fillId="0" borderId="1" xfId="1" applyNumberFormat="1" applyFont="1" applyBorder="1"/>
    <xf numFmtId="9" fontId="9" fillId="0" borderId="1" xfId="4" applyFont="1" applyBorder="1"/>
    <xf numFmtId="0" fontId="19" fillId="8" borderId="1" xfId="0" applyFont="1" applyFill="1" applyBorder="1" applyAlignment="1">
      <alignment horizontal="center"/>
    </xf>
    <xf numFmtId="0" fontId="19" fillId="8" borderId="1" xfId="0" applyFont="1" applyFill="1" applyBorder="1"/>
    <xf numFmtId="0" fontId="19" fillId="8" borderId="1" xfId="0" applyFont="1" applyFill="1" applyBorder="1" applyAlignment="1">
      <alignment horizontal="right"/>
    </xf>
    <xf numFmtId="9" fontId="10" fillId="4" borderId="1" xfId="0" applyNumberFormat="1" applyFont="1" applyFill="1" applyBorder="1"/>
    <xf numFmtId="166" fontId="10" fillId="4" borderId="1" xfId="1" applyNumberFormat="1" applyFont="1" applyFill="1" applyBorder="1" applyAlignment="1">
      <alignment horizontal="right"/>
    </xf>
    <xf numFmtId="170" fontId="10" fillId="4" borderId="1" xfId="1" applyNumberFormat="1" applyFont="1" applyFill="1" applyBorder="1" applyAlignment="1">
      <alignment horizontal="right"/>
    </xf>
    <xf numFmtId="166" fontId="9" fillId="7" borderId="1" xfId="1" applyNumberFormat="1" applyFont="1" applyFill="1" applyBorder="1"/>
    <xf numFmtId="166" fontId="20" fillId="7" borderId="1" xfId="1" applyNumberFormat="1" applyFont="1" applyFill="1" applyBorder="1"/>
    <xf numFmtId="0" fontId="24" fillId="0" borderId="0" xfId="0" applyFont="1" applyBorder="1" applyAlignment="1">
      <alignment horizontal="center"/>
    </xf>
    <xf numFmtId="166" fontId="9" fillId="0" borderId="13" xfId="1" applyNumberFormat="1" applyFont="1" applyFill="1" applyBorder="1" applyAlignment="1">
      <alignment horizontal="center"/>
    </xf>
    <xf numFmtId="0" fontId="9" fillId="0" borderId="0" xfId="0" applyFont="1" applyAlignment="1">
      <alignment horizontal="left"/>
    </xf>
    <xf numFmtId="49" fontId="23" fillId="9" borderId="14" xfId="0" applyNumberFormat="1" applyFont="1" applyFill="1" applyBorder="1" applyAlignment="1">
      <alignment horizontal="center"/>
    </xf>
    <xf numFmtId="49" fontId="23" fillId="9" borderId="15" xfId="0" applyNumberFormat="1" applyFont="1" applyFill="1" applyBorder="1" applyAlignment="1">
      <alignment horizontal="center"/>
    </xf>
    <xf numFmtId="49" fontId="13" fillId="0" borderId="0" xfId="0" applyNumberFormat="1" applyFont="1" applyAlignment="1">
      <alignment horizontal="center"/>
    </xf>
    <xf numFmtId="9" fontId="9" fillId="0" borderId="0" xfId="0" applyNumberFormat="1" applyFont="1" applyBorder="1" applyAlignment="1">
      <alignment horizontal="center"/>
    </xf>
    <xf numFmtId="0" fontId="25" fillId="0" borderId="0" xfId="0" applyFont="1"/>
    <xf numFmtId="9" fontId="9" fillId="0" borderId="0" xfId="0" applyNumberFormat="1" applyFont="1"/>
    <xf numFmtId="9" fontId="25" fillId="0" borderId="0" xfId="0" applyNumberFormat="1" applyFont="1" applyAlignment="1">
      <alignment horizontal="center"/>
    </xf>
    <xf numFmtId="0" fontId="13" fillId="0" borderId="0" xfId="0" applyFont="1"/>
    <xf numFmtId="0" fontId="23" fillId="9" borderId="7" xfId="0" applyFont="1" applyFill="1" applyBorder="1" applyAlignment="1">
      <alignment horizontal="center"/>
    </xf>
    <xf numFmtId="0" fontId="23" fillId="9" borderId="8" xfId="0" applyFont="1" applyFill="1" applyBorder="1" applyAlignment="1">
      <alignment horizontal="center"/>
    </xf>
    <xf numFmtId="0" fontId="23" fillId="9" borderId="9" xfId="0" applyFont="1" applyFill="1" applyBorder="1" applyAlignment="1">
      <alignment horizontal="center"/>
    </xf>
    <xf numFmtId="0" fontId="13" fillId="0" borderId="24" xfId="0" applyFont="1" applyBorder="1" applyAlignment="1">
      <alignment horizontal="center"/>
    </xf>
    <xf numFmtId="38" fontId="13" fillId="0" borderId="1" xfId="0" applyNumberFormat="1" applyFont="1" applyBorder="1" applyAlignment="1">
      <alignment horizontal="center"/>
    </xf>
    <xf numFmtId="9" fontId="13" fillId="0" borderId="1" xfId="0" applyNumberFormat="1" applyFont="1" applyBorder="1" applyAlignment="1">
      <alignment horizontal="center"/>
    </xf>
    <xf numFmtId="166" fontId="13" fillId="0" borderId="25" xfId="0" applyNumberFormat="1" applyFont="1" applyBorder="1" applyAlignment="1">
      <alignment horizontal="center"/>
    </xf>
    <xf numFmtId="166" fontId="9" fillId="0" borderId="0" xfId="0" applyNumberFormat="1" applyFont="1"/>
    <xf numFmtId="0" fontId="13" fillId="0" borderId="10" xfId="0" applyFont="1" applyBorder="1" applyAlignment="1">
      <alignment horizontal="center"/>
    </xf>
    <xf numFmtId="38" fontId="13" fillId="0" borderId="11" xfId="0" applyNumberFormat="1" applyFont="1" applyBorder="1" applyAlignment="1">
      <alignment horizontal="center"/>
    </xf>
    <xf numFmtId="9" fontId="13" fillId="0" borderId="11" xfId="0" applyNumberFormat="1" applyFont="1" applyBorder="1" applyAlignment="1">
      <alignment horizontal="center"/>
    </xf>
    <xf numFmtId="166" fontId="13" fillId="0" borderId="12" xfId="0" applyNumberFormat="1" applyFont="1" applyBorder="1" applyAlignment="1">
      <alignment horizontal="center"/>
    </xf>
    <xf numFmtId="0" fontId="13" fillId="0" borderId="0" xfId="0" applyFont="1" applyBorder="1" applyAlignment="1">
      <alignment horizontal="center"/>
    </xf>
    <xf numFmtId="172" fontId="13" fillId="0" borderId="0" xfId="0" applyNumberFormat="1" applyFont="1" applyBorder="1" applyAlignment="1">
      <alignment horizontal="center"/>
    </xf>
    <xf numFmtId="9" fontId="13" fillId="0" borderId="0" xfId="0" applyNumberFormat="1" applyFont="1" applyBorder="1" applyAlignment="1">
      <alignment horizontal="center"/>
    </xf>
    <xf numFmtId="6" fontId="13" fillId="0" borderId="0" xfId="0" applyNumberFormat="1" applyFont="1" applyBorder="1" applyAlignment="1">
      <alignment horizontal="center"/>
    </xf>
    <xf numFmtId="0" fontId="13" fillId="0" borderId="24" xfId="0" applyFont="1" applyBorder="1" applyAlignment="1">
      <alignment horizontal="left"/>
    </xf>
    <xf numFmtId="9" fontId="13" fillId="0" borderId="0" xfId="0" applyNumberFormat="1" applyFont="1" applyAlignment="1">
      <alignment horizontal="center"/>
    </xf>
    <xf numFmtId="172" fontId="13" fillId="0" borderId="0" xfId="0" applyNumberFormat="1" applyFont="1" applyAlignment="1">
      <alignment horizontal="center"/>
    </xf>
    <xf numFmtId="0" fontId="13" fillId="0" borderId="24" xfId="0" quotePrefix="1" applyFont="1" applyBorder="1" applyAlignment="1">
      <alignment horizontal="left"/>
    </xf>
    <xf numFmtId="0" fontId="8" fillId="9" borderId="29" xfId="0" applyFont="1" applyFill="1" applyBorder="1"/>
    <xf numFmtId="168" fontId="8" fillId="9" borderId="30" xfId="0" applyNumberFormat="1" applyFont="1" applyFill="1" applyBorder="1" applyAlignment="1">
      <alignment horizontal="right"/>
    </xf>
    <xf numFmtId="0" fontId="9" fillId="0" borderId="32" xfId="0" applyFont="1" applyBorder="1" applyAlignment="1">
      <alignment wrapText="1"/>
    </xf>
    <xf numFmtId="0" fontId="11" fillId="0" borderId="24" xfId="0" applyFont="1" applyBorder="1" applyAlignment="1">
      <alignment wrapText="1"/>
    </xf>
    <xf numFmtId="9" fontId="11" fillId="0" borderId="1" xfId="4" applyFont="1" applyBorder="1" applyAlignment="1">
      <alignment horizontal="right" wrapText="1"/>
    </xf>
    <xf numFmtId="0" fontId="11" fillId="0" borderId="10" xfId="0" applyFont="1" applyBorder="1" applyAlignment="1">
      <alignment wrapText="1"/>
    </xf>
    <xf numFmtId="9" fontId="11" fillId="0" borderId="11" xfId="4" applyFont="1" applyBorder="1" applyAlignment="1">
      <alignment horizontal="right" wrapText="1"/>
    </xf>
    <xf numFmtId="0" fontId="9" fillId="0" borderId="0" xfId="0" applyFont="1" applyBorder="1" applyAlignment="1">
      <alignment wrapText="1"/>
    </xf>
    <xf numFmtId="9" fontId="9" fillId="0" borderId="0" xfId="4" applyFont="1" applyBorder="1" applyAlignment="1">
      <alignment horizontal="right" wrapText="1"/>
    </xf>
    <xf numFmtId="166" fontId="9" fillId="0" borderId="0" xfId="1" applyNumberFormat="1" applyFont="1" applyAlignment="1">
      <alignment wrapText="1"/>
    </xf>
    <xf numFmtId="9" fontId="9" fillId="0" borderId="0" xfId="4" applyNumberFormat="1" applyFont="1"/>
    <xf numFmtId="0" fontId="9" fillId="0" borderId="7" xfId="0" applyFont="1" applyBorder="1"/>
    <xf numFmtId="0" fontId="9" fillId="0" borderId="24" xfId="0" applyFont="1" applyBorder="1"/>
    <xf numFmtId="166" fontId="9" fillId="5" borderId="25" xfId="1" applyNumberFormat="1" applyFont="1" applyFill="1" applyBorder="1"/>
    <xf numFmtId="173" fontId="9" fillId="0" borderId="0" xfId="4" applyNumberFormat="1" applyFont="1"/>
    <xf numFmtId="0" fontId="27" fillId="0" borderId="0" xfId="0" applyFont="1"/>
    <xf numFmtId="0" fontId="8" fillId="9" borderId="30" xfId="0" applyFont="1" applyFill="1" applyBorder="1" applyAlignment="1">
      <alignment horizontal="right"/>
    </xf>
    <xf numFmtId="0" fontId="8" fillId="9" borderId="31" xfId="0" applyFont="1" applyFill="1" applyBorder="1" applyAlignment="1">
      <alignment horizontal="right"/>
    </xf>
    <xf numFmtId="170" fontId="9" fillId="0" borderId="1" xfId="1" applyNumberFormat="1" applyFont="1" applyBorder="1" applyAlignment="1">
      <alignment horizontal="right" wrapText="1"/>
    </xf>
    <xf numFmtId="9" fontId="9" fillId="5" borderId="25" xfId="4" applyFont="1" applyFill="1" applyBorder="1"/>
    <xf numFmtId="9" fontId="9" fillId="0" borderId="1" xfId="4" applyNumberFormat="1" applyFont="1" applyFill="1" applyBorder="1" applyAlignment="1">
      <alignment horizontal="center"/>
    </xf>
    <xf numFmtId="9" fontId="9" fillId="0" borderId="25" xfId="4" applyNumberFormat="1" applyFont="1" applyFill="1" applyBorder="1" applyAlignment="1">
      <alignment horizontal="center"/>
    </xf>
    <xf numFmtId="9" fontId="11" fillId="0" borderId="1" xfId="4" applyNumberFormat="1" applyFont="1" applyFill="1" applyBorder="1" applyAlignment="1">
      <alignment horizontal="center"/>
    </xf>
    <xf numFmtId="9" fontId="11" fillId="0" borderId="25" xfId="4" applyNumberFormat="1" applyFont="1" applyFill="1" applyBorder="1" applyAlignment="1">
      <alignment horizontal="center"/>
    </xf>
    <xf numFmtId="9" fontId="11" fillId="0" borderId="11" xfId="4" applyNumberFormat="1" applyFont="1" applyFill="1" applyBorder="1" applyAlignment="1">
      <alignment horizontal="center"/>
    </xf>
    <xf numFmtId="9" fontId="11" fillId="0" borderId="12" xfId="4" applyNumberFormat="1" applyFont="1" applyFill="1" applyBorder="1" applyAlignment="1">
      <alignment horizontal="center"/>
    </xf>
    <xf numFmtId="167" fontId="9" fillId="5" borderId="25" xfId="1" applyNumberFormat="1" applyFont="1" applyFill="1" applyBorder="1"/>
    <xf numFmtId="9" fontId="12" fillId="4" borderId="9" xfId="0" applyNumberFormat="1" applyFont="1" applyFill="1" applyBorder="1"/>
    <xf numFmtId="167" fontId="12" fillId="4" borderId="25" xfId="1" applyNumberFormat="1" applyFont="1" applyFill="1" applyBorder="1"/>
    <xf numFmtId="9" fontId="10" fillId="4" borderId="16" xfId="0" applyNumberFormat="1" applyFont="1" applyFill="1" applyBorder="1" applyAlignment="1">
      <alignment horizontal="center"/>
    </xf>
    <xf numFmtId="9" fontId="10" fillId="4" borderId="17" xfId="0" applyNumberFormat="1" applyFont="1" applyFill="1" applyBorder="1" applyAlignment="1">
      <alignment horizontal="center"/>
    </xf>
    <xf numFmtId="9" fontId="10" fillId="4" borderId="21" xfId="0" applyNumberFormat="1" applyFont="1" applyFill="1" applyBorder="1" applyAlignment="1">
      <alignment horizontal="center"/>
    </xf>
    <xf numFmtId="9" fontId="10" fillId="4" borderId="13" xfId="0" applyNumberFormat="1" applyFont="1" applyFill="1" applyBorder="1" applyAlignment="1">
      <alignment horizontal="center"/>
    </xf>
    <xf numFmtId="0" fontId="11" fillId="0" borderId="1" xfId="0" applyFont="1" applyBorder="1"/>
    <xf numFmtId="0" fontId="8" fillId="0" borderId="1" xfId="0" applyFont="1" applyBorder="1"/>
    <xf numFmtId="165" fontId="10" fillId="3" borderId="1" xfId="0" applyNumberFormat="1" applyFont="1" applyFill="1" applyBorder="1" applyAlignment="1">
      <alignment horizontal="center"/>
    </xf>
    <xf numFmtId="9" fontId="8" fillId="9" borderId="1" xfId="0" applyNumberFormat="1" applyFont="1" applyFill="1" applyBorder="1"/>
    <xf numFmtId="9" fontId="9" fillId="0" borderId="1" xfId="0" applyNumberFormat="1" applyFont="1" applyBorder="1"/>
    <xf numFmtId="9" fontId="9" fillId="9" borderId="1" xfId="4" applyFont="1" applyFill="1" applyBorder="1"/>
    <xf numFmtId="9" fontId="11" fillId="0" borderId="1" xfId="4" applyFont="1" applyBorder="1"/>
    <xf numFmtId="170" fontId="8" fillId="0" borderId="1" xfId="1" applyNumberFormat="1" applyFont="1" applyBorder="1"/>
    <xf numFmtId="0" fontId="21" fillId="4" borderId="1" xfId="0" applyFont="1" applyFill="1" applyBorder="1"/>
    <xf numFmtId="170" fontId="21" fillId="4" borderId="1" xfId="1" applyNumberFormat="1" applyFont="1" applyFill="1" applyBorder="1"/>
    <xf numFmtId="170" fontId="11" fillId="0" borderId="1" xfId="0" applyNumberFormat="1" applyFont="1" applyBorder="1"/>
    <xf numFmtId="166" fontId="8" fillId="9" borderId="1" xfId="1" applyNumberFormat="1" applyFont="1" applyFill="1" applyBorder="1" applyAlignment="1">
      <alignment horizontal="right"/>
    </xf>
    <xf numFmtId="166" fontId="8" fillId="9" borderId="1" xfId="1" applyNumberFormat="1" applyFont="1" applyFill="1" applyBorder="1"/>
    <xf numFmtId="166" fontId="9" fillId="9" borderId="25" xfId="1" applyNumberFormat="1" applyFont="1" applyFill="1" applyBorder="1"/>
    <xf numFmtId="0" fontId="10" fillId="3" borderId="33" xfId="0" applyFont="1" applyFill="1" applyBorder="1"/>
    <xf numFmtId="165" fontId="10" fillId="3" borderId="30" xfId="0" applyNumberFormat="1" applyFont="1" applyFill="1" applyBorder="1" applyAlignment="1">
      <alignment horizontal="center"/>
    </xf>
    <xf numFmtId="165" fontId="10" fillId="3" borderId="2" xfId="0" applyNumberFormat="1" applyFont="1" applyFill="1" applyBorder="1" applyAlignment="1">
      <alignment horizontal="center"/>
    </xf>
    <xf numFmtId="0" fontId="8" fillId="0" borderId="6" xfId="0" applyFont="1" applyBorder="1"/>
    <xf numFmtId="170" fontId="8" fillId="0" borderId="4" xfId="1" applyNumberFormat="1" applyFont="1" applyBorder="1"/>
    <xf numFmtId="0" fontId="11" fillId="0" borderId="6" xfId="0" applyFont="1" applyBorder="1"/>
    <xf numFmtId="164" fontId="11" fillId="0" borderId="1" xfId="1" applyFont="1" applyBorder="1"/>
    <xf numFmtId="9" fontId="11" fillId="0" borderId="4" xfId="4" applyFont="1" applyBorder="1"/>
    <xf numFmtId="0" fontId="9" fillId="0" borderId="6" xfId="0" applyFont="1" applyBorder="1"/>
    <xf numFmtId="170" fontId="9" fillId="0" borderId="4" xfId="1" applyNumberFormat="1" applyFont="1" applyBorder="1"/>
    <xf numFmtId="0" fontId="11" fillId="0" borderId="34" xfId="0" applyFont="1" applyFill="1" applyBorder="1"/>
    <xf numFmtId="9" fontId="11" fillId="0" borderId="35" xfId="4" applyFont="1" applyBorder="1"/>
    <xf numFmtId="9" fontId="11" fillId="0" borderId="36" xfId="4" applyFont="1" applyBorder="1"/>
    <xf numFmtId="0" fontId="11" fillId="0" borderId="0" xfId="0" applyFont="1"/>
    <xf numFmtId="0" fontId="8" fillId="9" borderId="7" xfId="0" applyFont="1" applyFill="1" applyBorder="1" applyAlignment="1">
      <alignment wrapText="1"/>
    </xf>
    <xf numFmtId="0" fontId="8" fillId="9" borderId="9" xfId="0" applyFont="1" applyFill="1" applyBorder="1" applyAlignment="1">
      <alignment horizontal="left"/>
    </xf>
    <xf numFmtId="0" fontId="8" fillId="0" borderId="10" xfId="0" applyFont="1" applyBorder="1" applyAlignment="1">
      <alignment vertical="center" wrapText="1"/>
    </xf>
    <xf numFmtId="0" fontId="9" fillId="0" borderId="12" xfId="0" applyFont="1" applyBorder="1" applyAlignment="1">
      <alignment wrapText="1"/>
    </xf>
    <xf numFmtId="0" fontId="9" fillId="9" borderId="0" xfId="0" applyFont="1" applyFill="1" applyAlignment="1">
      <alignment wrapText="1"/>
    </xf>
    <xf numFmtId="0" fontId="9" fillId="9" borderId="0" xfId="0" applyFont="1" applyFill="1"/>
    <xf numFmtId="0" fontId="8" fillId="0" borderId="16" xfId="0" applyFont="1" applyBorder="1" applyAlignment="1">
      <alignment vertical="center" wrapText="1"/>
    </xf>
    <xf numFmtId="0" fontId="9" fillId="0" borderId="17" xfId="0" applyFont="1" applyBorder="1" applyAlignment="1">
      <alignment wrapText="1"/>
    </xf>
    <xf numFmtId="0" fontId="8" fillId="9" borderId="0" xfId="0" applyFont="1" applyFill="1" applyAlignment="1">
      <alignment vertical="center"/>
    </xf>
    <xf numFmtId="0" fontId="8" fillId="0" borderId="1" xfId="0" applyFont="1" applyBorder="1" applyAlignment="1">
      <alignment vertical="center" wrapText="1"/>
    </xf>
    <xf numFmtId="0" fontId="9" fillId="0" borderId="1" xfId="0" applyFont="1" applyBorder="1" applyAlignment="1">
      <alignment wrapText="1"/>
    </xf>
    <xf numFmtId="0" fontId="18" fillId="9" borderId="0" xfId="0" applyFont="1" applyFill="1"/>
    <xf numFmtId="0" fontId="28" fillId="0" borderId="0" xfId="2" applyFont="1" applyFill="1" applyBorder="1" applyAlignment="1" applyProtection="1"/>
    <xf numFmtId="0" fontId="28" fillId="0" borderId="0" xfId="2" applyFont="1" applyAlignment="1" applyProtection="1">
      <alignment horizontal="left"/>
    </xf>
    <xf numFmtId="0" fontId="31" fillId="0" borderId="0" xfId="0" applyFont="1" applyBorder="1"/>
    <xf numFmtId="0" fontId="32" fillId="0" borderId="0" xfId="0" applyFont="1" applyBorder="1"/>
    <xf numFmtId="0" fontId="33" fillId="3" borderId="7" xfId="0" applyFont="1" applyFill="1" applyBorder="1"/>
    <xf numFmtId="165" fontId="33" fillId="3" borderId="8" xfId="0" applyNumberFormat="1" applyFont="1" applyFill="1" applyBorder="1" applyAlignment="1">
      <alignment horizontal="center"/>
    </xf>
    <xf numFmtId="0" fontId="33" fillId="3" borderId="9" xfId="0" applyFont="1" applyFill="1" applyBorder="1" applyAlignment="1">
      <alignment horizontal="center"/>
    </xf>
    <xf numFmtId="0" fontId="32" fillId="0" borderId="0" xfId="0" applyFont="1" applyFill="1" applyBorder="1"/>
    <xf numFmtId="0" fontId="32" fillId="0" borderId="24" xfId="0" applyFont="1" applyBorder="1"/>
    <xf numFmtId="170" fontId="32" fillId="0" borderId="1" xfId="1" applyNumberFormat="1" applyFont="1" applyBorder="1"/>
    <xf numFmtId="170" fontId="32" fillId="0" borderId="25" xfId="1" applyNumberFormat="1" applyFont="1" applyBorder="1"/>
    <xf numFmtId="0" fontId="34" fillId="9" borderId="24" xfId="0" applyFont="1" applyFill="1" applyBorder="1"/>
    <xf numFmtId="164" fontId="32" fillId="9" borderId="1" xfId="1" applyFont="1" applyFill="1" applyBorder="1"/>
    <xf numFmtId="9" fontId="34" fillId="9" borderId="1" xfId="4" applyFont="1" applyFill="1" applyBorder="1"/>
    <xf numFmtId="9" fontId="34" fillId="9" borderId="25" xfId="4" applyFont="1" applyFill="1" applyBorder="1"/>
    <xf numFmtId="0" fontId="31" fillId="0" borderId="24" xfId="0" applyFont="1" applyBorder="1"/>
    <xf numFmtId="170" fontId="31" fillId="0" borderId="1" xfId="1" applyNumberFormat="1" applyFont="1" applyBorder="1"/>
    <xf numFmtId="170" fontId="31" fillId="0" borderId="25" xfId="1" applyNumberFormat="1" applyFont="1" applyBorder="1"/>
    <xf numFmtId="164" fontId="34" fillId="0" borderId="24" xfId="1" applyFont="1" applyBorder="1" applyAlignment="1">
      <alignment horizontal="left" indent="1"/>
    </xf>
    <xf numFmtId="9" fontId="34" fillId="0" borderId="1" xfId="4" applyFont="1" applyBorder="1"/>
    <xf numFmtId="9" fontId="34" fillId="0" borderId="25" xfId="4" applyFont="1" applyBorder="1"/>
    <xf numFmtId="171" fontId="34" fillId="9" borderId="1" xfId="1" applyNumberFormat="1" applyFont="1" applyFill="1" applyBorder="1"/>
    <xf numFmtId="171" fontId="34" fillId="9" borderId="25" xfId="1" applyNumberFormat="1" applyFont="1" applyFill="1" applyBorder="1"/>
    <xf numFmtId="170" fontId="34" fillId="9" borderId="1" xfId="1" applyNumberFormat="1" applyFont="1" applyFill="1" applyBorder="1"/>
    <xf numFmtId="170" fontId="34" fillId="9" borderId="25" xfId="1" applyNumberFormat="1" applyFont="1" applyFill="1" applyBorder="1"/>
    <xf numFmtId="169" fontId="31" fillId="0" borderId="1" xfId="1" applyNumberFormat="1" applyFont="1" applyBorder="1"/>
    <xf numFmtId="169" fontId="31" fillId="0" borderId="25" xfId="1" applyNumberFormat="1" applyFont="1" applyBorder="1"/>
    <xf numFmtId="0" fontId="31" fillId="9" borderId="24" xfId="0" applyFont="1" applyFill="1" applyBorder="1"/>
    <xf numFmtId="169" fontId="31" fillId="9" borderId="1" xfId="1" applyNumberFormat="1" applyFont="1" applyFill="1" applyBorder="1"/>
    <xf numFmtId="169" fontId="31" fillId="9" borderId="25" xfId="1" applyNumberFormat="1" applyFont="1" applyFill="1" applyBorder="1"/>
    <xf numFmtId="171" fontId="31" fillId="0" borderId="1" xfId="0" applyNumberFormat="1" applyFont="1" applyBorder="1"/>
    <xf numFmtId="10" fontId="31" fillId="0" borderId="25" xfId="0" applyNumberFormat="1" applyFont="1" applyBorder="1"/>
    <xf numFmtId="0" fontId="31" fillId="0" borderId="10" xfId="0" applyFont="1" applyBorder="1"/>
    <xf numFmtId="169" fontId="31" fillId="0" borderId="11" xfId="1" applyNumberFormat="1" applyFont="1" applyBorder="1"/>
    <xf numFmtId="171" fontId="31" fillId="0" borderId="11" xfId="0" applyNumberFormat="1" applyFont="1" applyBorder="1"/>
    <xf numFmtId="10" fontId="31" fillId="0" borderId="12" xfId="0" applyNumberFormat="1" applyFont="1" applyBorder="1"/>
    <xf numFmtId="10" fontId="31" fillId="0" borderId="0" xfId="0" applyNumberFormat="1" applyFont="1" applyBorder="1"/>
    <xf numFmtId="170" fontId="31" fillId="0" borderId="0" xfId="0" applyNumberFormat="1" applyFont="1" applyBorder="1"/>
    <xf numFmtId="165" fontId="33" fillId="3" borderId="1" xfId="0" applyNumberFormat="1" applyFont="1" applyFill="1" applyBorder="1" applyAlignment="1">
      <alignment horizontal="center"/>
    </xf>
    <xf numFmtId="0" fontId="31" fillId="0" borderId="1" xfId="0" applyFont="1" applyBorder="1"/>
    <xf numFmtId="171" fontId="31" fillId="9" borderId="1" xfId="0" applyNumberFormat="1" applyFont="1" applyFill="1" applyBorder="1"/>
    <xf numFmtId="0" fontId="37" fillId="0" borderId="0" xfId="0" applyFont="1"/>
    <xf numFmtId="0" fontId="36" fillId="9" borderId="4" xfId="0" applyFont="1" applyFill="1" applyBorder="1" applyAlignment="1">
      <alignment horizontal="center"/>
    </xf>
    <xf numFmtId="0" fontId="36" fillId="9" borderId="5" xfId="0" applyFont="1" applyFill="1" applyBorder="1" applyAlignment="1">
      <alignment horizontal="center"/>
    </xf>
    <xf numFmtId="0" fontId="36" fillId="9" borderId="6" xfId="0" applyFont="1" applyFill="1" applyBorder="1" applyAlignment="1">
      <alignment horizontal="center"/>
    </xf>
    <xf numFmtId="0" fontId="37" fillId="0" borderId="1" xfId="0" applyFont="1" applyBorder="1"/>
    <xf numFmtId="170" fontId="37" fillId="0" borderId="1" xfId="1" applyNumberFormat="1" applyFont="1" applyBorder="1"/>
    <xf numFmtId="0" fontId="27" fillId="0" borderId="0" xfId="0" applyFont="1" applyAlignment="1">
      <alignment horizontal="left"/>
    </xf>
    <xf numFmtId="0" fontId="8" fillId="9" borderId="24" xfId="0" applyFont="1" applyFill="1" applyBorder="1" applyAlignment="1">
      <alignment horizontal="left"/>
    </xf>
    <xf numFmtId="9" fontId="8" fillId="9" borderId="25" xfId="4" applyFont="1" applyFill="1" applyBorder="1" applyAlignment="1">
      <alignment horizontal="right"/>
    </xf>
    <xf numFmtId="9" fontId="9" fillId="0" borderId="25" xfId="4" applyFont="1" applyFill="1" applyBorder="1" applyAlignment="1">
      <alignment horizontal="left"/>
    </xf>
    <xf numFmtId="166" fontId="9" fillId="0" borderId="25" xfId="1" applyNumberFormat="1" applyFont="1" applyFill="1" applyBorder="1" applyAlignment="1">
      <alignment horizontal="left"/>
    </xf>
    <xf numFmtId="167" fontId="9" fillId="0" borderId="25" xfId="1" applyNumberFormat="1" applyFont="1" applyFill="1" applyBorder="1" applyAlignment="1">
      <alignment horizontal="left"/>
    </xf>
    <xf numFmtId="171" fontId="9" fillId="0" borderId="25" xfId="4" applyNumberFormat="1" applyFont="1" applyFill="1" applyBorder="1" applyAlignment="1">
      <alignment horizontal="right"/>
    </xf>
    <xf numFmtId="167" fontId="9" fillId="0" borderId="25" xfId="1" applyNumberFormat="1" applyFont="1" applyFill="1" applyBorder="1" applyAlignment="1">
      <alignment horizontal="left" indent="1"/>
    </xf>
    <xf numFmtId="171" fontId="9" fillId="0" borderId="25" xfId="4" applyNumberFormat="1" applyFont="1" applyFill="1" applyBorder="1" applyAlignment="1"/>
    <xf numFmtId="169" fontId="9" fillId="0" borderId="25" xfId="1" applyNumberFormat="1" applyFont="1" applyFill="1" applyBorder="1" applyAlignment="1"/>
    <xf numFmtId="0" fontId="13" fillId="0" borderId="10" xfId="0" applyFont="1" applyBorder="1" applyAlignment="1">
      <alignment horizontal="left"/>
    </xf>
    <xf numFmtId="169" fontId="9" fillId="0" borderId="12" xfId="1" applyNumberFormat="1" applyFont="1" applyFill="1" applyBorder="1" applyAlignment="1"/>
    <xf numFmtId="0" fontId="18" fillId="0" borderId="0" xfId="0" applyFont="1" applyAlignment="1">
      <alignment horizontal="left"/>
    </xf>
    <xf numFmtId="165" fontId="10" fillId="3" borderId="24" xfId="1" applyNumberFormat="1" applyFont="1" applyFill="1" applyBorder="1"/>
    <xf numFmtId="165" fontId="10" fillId="3" borderId="25" xfId="0" applyNumberFormat="1" applyFont="1" applyFill="1" applyBorder="1" applyAlignment="1">
      <alignment horizontal="center"/>
    </xf>
    <xf numFmtId="9" fontId="9" fillId="0" borderId="24" xfId="4" applyFont="1" applyBorder="1"/>
    <xf numFmtId="9" fontId="9" fillId="0" borderId="25" xfId="4" applyFont="1" applyBorder="1"/>
    <xf numFmtId="9" fontId="8" fillId="9" borderId="24" xfId="4" applyFont="1" applyFill="1" applyBorder="1"/>
    <xf numFmtId="9" fontId="8" fillId="9" borderId="25" xfId="0" applyNumberFormat="1" applyFont="1" applyFill="1" applyBorder="1"/>
    <xf numFmtId="9" fontId="9" fillId="0" borderId="25" xfId="0" applyNumberFormat="1" applyFont="1" applyBorder="1"/>
    <xf numFmtId="9" fontId="9" fillId="9" borderId="24" xfId="4" applyFont="1" applyFill="1" applyBorder="1"/>
    <xf numFmtId="9" fontId="9" fillId="9" borderId="25" xfId="4" applyFont="1" applyFill="1" applyBorder="1"/>
    <xf numFmtId="9" fontId="9" fillId="0" borderId="10" xfId="4" applyFont="1" applyBorder="1"/>
    <xf numFmtId="9" fontId="9" fillId="0" borderId="11" xfId="4" applyFont="1" applyBorder="1"/>
    <xf numFmtId="9" fontId="9" fillId="0" borderId="12" xfId="4" applyFont="1" applyBorder="1"/>
    <xf numFmtId="0" fontId="39" fillId="0" borderId="0" xfId="0" applyFont="1" applyBorder="1"/>
    <xf numFmtId="0" fontId="40" fillId="0" borderId="0" xfId="0" applyFont="1" applyBorder="1"/>
    <xf numFmtId="0" fontId="40" fillId="0" borderId="0" xfId="0" applyFont="1" applyFill="1" applyBorder="1"/>
    <xf numFmtId="170" fontId="40" fillId="0" borderId="1" xfId="1" applyNumberFormat="1" applyFont="1" applyBorder="1" applyAlignment="1">
      <alignment horizontal="center"/>
    </xf>
    <xf numFmtId="170" fontId="39" fillId="0" borderId="1" xfId="1" applyNumberFormat="1" applyFont="1" applyBorder="1" applyAlignment="1">
      <alignment horizontal="center"/>
    </xf>
    <xf numFmtId="170" fontId="40" fillId="0" borderId="1" xfId="1" applyNumberFormat="1" applyFont="1" applyBorder="1"/>
    <xf numFmtId="170" fontId="40" fillId="0" borderId="0" xfId="1" applyNumberFormat="1" applyFont="1" applyBorder="1"/>
    <xf numFmtId="170" fontId="43" fillId="9" borderId="1" xfId="1" applyNumberFormat="1" applyFont="1" applyFill="1" applyBorder="1"/>
    <xf numFmtId="169" fontId="43" fillId="9" borderId="1" xfId="1" applyNumberFormat="1" applyFont="1" applyFill="1" applyBorder="1"/>
    <xf numFmtId="9" fontId="43" fillId="9" borderId="1" xfId="4" applyFont="1" applyFill="1" applyBorder="1"/>
    <xf numFmtId="0" fontId="44" fillId="0" borderId="0" xfId="0" applyFont="1" applyBorder="1"/>
    <xf numFmtId="0" fontId="44" fillId="0" borderId="0" xfId="0" applyFont="1" applyBorder="1" applyAlignment="1">
      <alignment wrapText="1"/>
    </xf>
    <xf numFmtId="165" fontId="41" fillId="3" borderId="30" xfId="0" applyNumberFormat="1" applyFont="1" applyFill="1" applyBorder="1" applyAlignment="1">
      <alignment horizontal="center"/>
    </xf>
    <xf numFmtId="0" fontId="41" fillId="3" borderId="29" xfId="0" applyFont="1" applyFill="1" applyBorder="1"/>
    <xf numFmtId="165" fontId="41" fillId="3" borderId="31" xfId="0" applyNumberFormat="1" applyFont="1" applyFill="1" applyBorder="1" applyAlignment="1">
      <alignment horizontal="center"/>
    </xf>
    <xf numFmtId="0" fontId="40" fillId="0" borderId="24" xfId="0" applyFont="1" applyBorder="1"/>
    <xf numFmtId="170" fontId="40" fillId="0" borderId="25" xfId="1" applyNumberFormat="1" applyFont="1" applyBorder="1" applyAlignment="1">
      <alignment horizontal="center"/>
    </xf>
    <xf numFmtId="0" fontId="39" fillId="0" borderId="24" xfId="0" applyFont="1" applyBorder="1"/>
    <xf numFmtId="170" fontId="39" fillId="0" borderId="25" xfId="1" applyNumberFormat="1" applyFont="1" applyBorder="1" applyAlignment="1">
      <alignment horizontal="center"/>
    </xf>
    <xf numFmtId="170" fontId="40" fillId="0" borderId="25" xfId="1" applyNumberFormat="1" applyFont="1" applyBorder="1"/>
    <xf numFmtId="0" fontId="40" fillId="0" borderId="24" xfId="0" applyFont="1" applyFill="1" applyBorder="1"/>
    <xf numFmtId="0" fontId="42" fillId="4" borderId="10" xfId="0" applyFont="1" applyFill="1" applyBorder="1"/>
    <xf numFmtId="170" fontId="42" fillId="4" borderId="11" xfId="1" applyNumberFormat="1" applyFont="1" applyFill="1" applyBorder="1"/>
    <xf numFmtId="170" fontId="42" fillId="4" borderId="12" xfId="1" applyNumberFormat="1" applyFont="1" applyFill="1" applyBorder="1"/>
    <xf numFmtId="0" fontId="43" fillId="9" borderId="7" xfId="0" applyFont="1" applyFill="1" applyBorder="1"/>
    <xf numFmtId="170" fontId="43" fillId="9" borderId="8" xfId="1" applyNumberFormat="1" applyFont="1" applyFill="1" applyBorder="1"/>
    <xf numFmtId="170" fontId="43" fillId="9" borderId="9" xfId="1" applyNumberFormat="1" applyFont="1" applyFill="1" applyBorder="1"/>
    <xf numFmtId="0" fontId="43" fillId="9" borderId="24" xfId="0" applyFont="1" applyFill="1" applyBorder="1"/>
    <xf numFmtId="170" fontId="43" fillId="9" borderId="25" xfId="1" applyNumberFormat="1" applyFont="1" applyFill="1" applyBorder="1"/>
    <xf numFmtId="169" fontId="43" fillId="9" borderId="25" xfId="1" applyNumberFormat="1" applyFont="1" applyFill="1" applyBorder="1"/>
    <xf numFmtId="9" fontId="43" fillId="9" borderId="25" xfId="4" applyFont="1" applyFill="1" applyBorder="1"/>
    <xf numFmtId="0" fontId="43" fillId="9" borderId="10" xfId="0" applyFont="1" applyFill="1" applyBorder="1"/>
    <xf numFmtId="0" fontId="10" fillId="3" borderId="24" xfId="0" applyFont="1" applyFill="1" applyBorder="1"/>
    <xf numFmtId="0" fontId="8" fillId="0" borderId="24" xfId="0" applyFont="1" applyBorder="1"/>
    <xf numFmtId="170" fontId="8" fillId="0" borderId="23" xfId="1" applyNumberFormat="1" applyFont="1" applyBorder="1"/>
    <xf numFmtId="0" fontId="11" fillId="0" borderId="24" xfId="0" applyFont="1" applyFill="1" applyBorder="1"/>
    <xf numFmtId="170" fontId="11" fillId="0" borderId="23" xfId="1" applyNumberFormat="1" applyFont="1" applyBorder="1"/>
    <xf numFmtId="0" fontId="21" fillId="4" borderId="24" xfId="0" applyFont="1" applyFill="1" applyBorder="1"/>
    <xf numFmtId="170" fontId="26" fillId="0" borderId="23" xfId="1" applyNumberFormat="1" applyFont="1" applyBorder="1"/>
    <xf numFmtId="0" fontId="11" fillId="0" borderId="24" xfId="0" applyFont="1" applyBorder="1"/>
    <xf numFmtId="170" fontId="9" fillId="0" borderId="23" xfId="1" applyNumberFormat="1" applyFont="1" applyBorder="1"/>
    <xf numFmtId="0" fontId="11" fillId="0" borderId="10" xfId="0" applyFont="1" applyBorder="1"/>
    <xf numFmtId="9" fontId="11" fillId="0" borderId="11" xfId="4" applyFont="1" applyBorder="1"/>
    <xf numFmtId="170" fontId="9" fillId="0" borderId="28" xfId="1" applyNumberFormat="1" applyFont="1" applyBorder="1"/>
    <xf numFmtId="0" fontId="9" fillId="7" borderId="1" xfId="0" applyFont="1" applyFill="1" applyBorder="1"/>
    <xf numFmtId="0" fontId="46" fillId="0" borderId="0" xfId="0" applyFont="1" applyAlignment="1">
      <alignment wrapText="1"/>
    </xf>
    <xf numFmtId="0" fontId="47" fillId="8" borderId="21" xfId="2" applyFont="1" applyFill="1" applyBorder="1" applyAlignment="1" applyProtection="1">
      <alignment horizontal="center" wrapText="1"/>
    </xf>
    <xf numFmtId="0" fontId="47" fillId="0" borderId="0" xfId="2" applyFont="1" applyFill="1" applyBorder="1" applyAlignment="1" applyProtection="1">
      <alignment horizontal="center" wrapText="1"/>
    </xf>
    <xf numFmtId="0" fontId="46" fillId="0" borderId="0" xfId="0" applyFont="1" applyFill="1" applyBorder="1" applyAlignment="1">
      <alignment wrapText="1"/>
    </xf>
    <xf numFmtId="0" fontId="46" fillId="0" borderId="0" xfId="0" applyFont="1" applyFill="1" applyAlignment="1">
      <alignment wrapText="1"/>
    </xf>
    <xf numFmtId="0" fontId="48" fillId="8" borderId="40" xfId="0" applyFont="1" applyFill="1" applyBorder="1" applyAlignment="1">
      <alignment horizontal="center" wrapText="1"/>
    </xf>
    <xf numFmtId="0" fontId="46" fillId="0" borderId="41" xfId="0" applyFont="1" applyBorder="1" applyAlignment="1">
      <alignment wrapText="1"/>
    </xf>
    <xf numFmtId="0" fontId="46" fillId="0" borderId="42" xfId="0" applyFont="1" applyBorder="1" applyAlignment="1">
      <alignment wrapText="1"/>
    </xf>
    <xf numFmtId="0" fontId="50" fillId="0" borderId="0" xfId="0" applyFont="1" applyAlignment="1">
      <alignment wrapText="1"/>
    </xf>
    <xf numFmtId="0" fontId="0" fillId="0" borderId="41" xfId="0" applyFont="1" applyBorder="1" applyAlignment="1">
      <alignment wrapText="1"/>
    </xf>
    <xf numFmtId="170" fontId="11" fillId="0" borderId="4" xfId="0" applyNumberFormat="1" applyFont="1" applyBorder="1" applyAlignment="1">
      <alignment horizontal="center"/>
    </xf>
    <xf numFmtId="168" fontId="0" fillId="0" borderId="0" xfId="0" applyNumberFormat="1"/>
    <xf numFmtId="9" fontId="0" fillId="0" borderId="0" xfId="4" applyFont="1"/>
    <xf numFmtId="168" fontId="1" fillId="0" borderId="0" xfId="0" applyNumberFormat="1" applyFont="1"/>
    <xf numFmtId="170" fontId="0" fillId="0" borderId="0" xfId="1" applyNumberFormat="1" applyFont="1"/>
    <xf numFmtId="0" fontId="1" fillId="0" borderId="0" xfId="0" applyFont="1"/>
    <xf numFmtId="0" fontId="12" fillId="3" borderId="0" xfId="0" applyFont="1" applyFill="1"/>
    <xf numFmtId="168" fontId="10" fillId="3" borderId="0" xfId="0" applyNumberFormat="1" applyFont="1" applyFill="1"/>
    <xf numFmtId="171" fontId="9" fillId="0" borderId="0" xfId="4" applyNumberFormat="1" applyFont="1"/>
    <xf numFmtId="171" fontId="9" fillId="0" borderId="0" xfId="0" applyNumberFormat="1" applyFont="1"/>
    <xf numFmtId="169" fontId="9" fillId="0" borderId="0" xfId="1" applyNumberFormat="1" applyFont="1"/>
    <xf numFmtId="170" fontId="9" fillId="0" borderId="0" xfId="1" applyNumberFormat="1" applyFont="1"/>
    <xf numFmtId="170" fontId="26" fillId="0" borderId="1" xfId="1" applyNumberFormat="1" applyFont="1" applyBorder="1"/>
    <xf numFmtId="0" fontId="26" fillId="0" borderId="0" xfId="0" applyFont="1" applyBorder="1"/>
    <xf numFmtId="9" fontId="11" fillId="0" borderId="5" xfId="4" applyFont="1" applyBorder="1" applyAlignment="1">
      <alignment horizontal="center"/>
    </xf>
    <xf numFmtId="9" fontId="40" fillId="9" borderId="11" xfId="4" applyFont="1" applyFill="1" applyBorder="1"/>
    <xf numFmtId="9" fontId="40" fillId="9" borderId="12" xfId="4" applyFont="1" applyFill="1" applyBorder="1"/>
    <xf numFmtId="170" fontId="51" fillId="0" borderId="1" xfId="1" applyNumberFormat="1" applyFont="1" applyBorder="1"/>
    <xf numFmtId="170" fontId="52" fillId="0" borderId="1" xfId="1" applyNumberFormat="1" applyFont="1" applyBorder="1"/>
    <xf numFmtId="0" fontId="51" fillId="0" borderId="24" xfId="0" applyFont="1" applyBorder="1"/>
    <xf numFmtId="0" fontId="9" fillId="0" borderId="25" xfId="0" applyFont="1" applyBorder="1"/>
    <xf numFmtId="0" fontId="9" fillId="0" borderId="12" xfId="0" applyFont="1" applyBorder="1"/>
    <xf numFmtId="9" fontId="51" fillId="0" borderId="1" xfId="4" applyFont="1" applyBorder="1"/>
    <xf numFmtId="9" fontId="51" fillId="0" borderId="25" xfId="4" applyFont="1" applyBorder="1"/>
    <xf numFmtId="9" fontId="11" fillId="0" borderId="25" xfId="4" applyFont="1" applyBorder="1"/>
    <xf numFmtId="0" fontId="11" fillId="0" borderId="11" xfId="0" applyFont="1" applyBorder="1"/>
    <xf numFmtId="9" fontId="11" fillId="0" borderId="12" xfId="4" applyFont="1" applyBorder="1"/>
    <xf numFmtId="169" fontId="9" fillId="0" borderId="1" xfId="1" applyNumberFormat="1" applyFont="1" applyBorder="1"/>
    <xf numFmtId="169" fontId="11" fillId="0" borderId="1" xfId="1" applyNumberFormat="1" applyFont="1" applyBorder="1"/>
    <xf numFmtId="169" fontId="9" fillId="0" borderId="25" xfId="1" applyNumberFormat="1" applyFont="1" applyBorder="1"/>
    <xf numFmtId="169" fontId="11" fillId="0" borderId="25" xfId="1" applyNumberFormat="1" applyFont="1" applyBorder="1"/>
    <xf numFmtId="169" fontId="11" fillId="0" borderId="11" xfId="1" applyNumberFormat="1" applyFont="1" applyBorder="1"/>
    <xf numFmtId="169" fontId="11" fillId="0" borderId="12" xfId="1" applyNumberFormat="1" applyFont="1" applyBorder="1"/>
    <xf numFmtId="170" fontId="9" fillId="0" borderId="25" xfId="1" applyNumberFormat="1" applyFont="1" applyBorder="1"/>
    <xf numFmtId="0" fontId="7" fillId="8" borderId="40" xfId="0" applyFont="1" applyFill="1" applyBorder="1" applyAlignment="1">
      <alignment horizontal="center" wrapText="1"/>
    </xf>
    <xf numFmtId="9" fontId="9" fillId="10" borderId="1" xfId="4" applyFont="1" applyFill="1" applyBorder="1"/>
    <xf numFmtId="0" fontId="10" fillId="4" borderId="24" xfId="0" applyFont="1" applyFill="1" applyBorder="1"/>
    <xf numFmtId="0" fontId="10" fillId="4" borderId="25" xfId="0" applyFont="1" applyFill="1" applyBorder="1"/>
    <xf numFmtId="9" fontId="9" fillId="10" borderId="24" xfId="4" applyFont="1" applyFill="1" applyBorder="1"/>
    <xf numFmtId="9" fontId="9" fillId="10" borderId="25" xfId="4" applyFont="1" applyFill="1" applyBorder="1"/>
    <xf numFmtId="9" fontId="9" fillId="10" borderId="10" xfId="4" applyFont="1" applyFill="1" applyBorder="1"/>
    <xf numFmtId="9" fontId="9" fillId="10" borderId="11" xfId="4" applyFont="1" applyFill="1" applyBorder="1"/>
    <xf numFmtId="9" fontId="9" fillId="10" borderId="12" xfId="4" applyFont="1" applyFill="1" applyBorder="1"/>
    <xf numFmtId="0" fontId="10" fillId="4" borderId="4" xfId="0" applyFont="1" applyFill="1" applyBorder="1"/>
    <xf numFmtId="9" fontId="9" fillId="10" borderId="4" xfId="4" applyFont="1" applyFill="1" applyBorder="1"/>
    <xf numFmtId="9" fontId="9" fillId="10" borderId="46" xfId="4" applyFont="1" applyFill="1" applyBorder="1"/>
    <xf numFmtId="0" fontId="10" fillId="4" borderId="6" xfId="0" applyFont="1" applyFill="1" applyBorder="1"/>
    <xf numFmtId="9" fontId="9" fillId="10" borderId="6" xfId="4" applyFont="1" applyFill="1" applyBorder="1"/>
    <xf numFmtId="9" fontId="9" fillId="10" borderId="48" xfId="4" applyFont="1" applyFill="1" applyBorder="1"/>
    <xf numFmtId="9" fontId="9" fillId="8" borderId="1" xfId="4" applyFont="1" applyFill="1" applyBorder="1"/>
    <xf numFmtId="9" fontId="9" fillId="8" borderId="24" xfId="4" applyFont="1" applyFill="1" applyBorder="1"/>
    <xf numFmtId="9" fontId="9" fillId="8" borderId="25" xfId="4" applyFont="1" applyFill="1" applyBorder="1"/>
    <xf numFmtId="9" fontId="9" fillId="8" borderId="10" xfId="4" applyFont="1" applyFill="1" applyBorder="1"/>
    <xf numFmtId="9" fontId="9" fillId="8" borderId="11" xfId="4" applyFont="1" applyFill="1" applyBorder="1"/>
    <xf numFmtId="9" fontId="9" fillId="8" borderId="12" xfId="4" applyFont="1" applyFill="1" applyBorder="1"/>
    <xf numFmtId="9" fontId="9" fillId="0" borderId="41" xfId="4" applyFont="1" applyBorder="1"/>
    <xf numFmtId="9" fontId="9" fillId="0" borderId="41" xfId="4" applyFont="1" applyFill="1" applyBorder="1"/>
    <xf numFmtId="0" fontId="9" fillId="0" borderId="42" xfId="0" applyFont="1" applyBorder="1"/>
    <xf numFmtId="0" fontId="10" fillId="4" borderId="32" xfId="0" applyFont="1" applyFill="1" applyBorder="1"/>
    <xf numFmtId="0" fontId="10" fillId="4" borderId="35" xfId="0" applyFont="1" applyFill="1" applyBorder="1"/>
    <xf numFmtId="0" fontId="10" fillId="4" borderId="36" xfId="0" applyFont="1" applyFill="1" applyBorder="1"/>
    <xf numFmtId="9" fontId="9" fillId="10" borderId="7" xfId="4" applyFont="1" applyFill="1" applyBorder="1"/>
    <xf numFmtId="9" fontId="9" fillId="10" borderId="8" xfId="4" applyFont="1" applyFill="1" applyBorder="1"/>
    <xf numFmtId="9" fontId="9" fillId="10" borderId="9" xfId="4" applyFont="1" applyFill="1" applyBorder="1"/>
    <xf numFmtId="9" fontId="9" fillId="10" borderId="45" xfId="4" applyFont="1" applyFill="1" applyBorder="1"/>
    <xf numFmtId="0" fontId="10" fillId="4" borderId="49" xfId="0" applyFont="1" applyFill="1" applyBorder="1"/>
    <xf numFmtId="9" fontId="9" fillId="8" borderId="7" xfId="4" applyFont="1" applyFill="1" applyBorder="1"/>
    <xf numFmtId="9" fontId="9" fillId="8" borderId="8" xfId="4" applyFont="1" applyFill="1" applyBorder="1"/>
    <xf numFmtId="9" fontId="9" fillId="8" borderId="45" xfId="4" applyFont="1" applyFill="1" applyBorder="1"/>
    <xf numFmtId="9" fontId="9" fillId="8" borderId="4" xfId="4" applyFont="1" applyFill="1" applyBorder="1"/>
    <xf numFmtId="0" fontId="10" fillId="4" borderId="34" xfId="0" applyFont="1" applyFill="1" applyBorder="1"/>
    <xf numFmtId="9" fontId="9" fillId="8" borderId="46" xfId="4" applyFont="1" applyFill="1" applyBorder="1"/>
    <xf numFmtId="0" fontId="9" fillId="10" borderId="7" xfId="0" applyFont="1" applyFill="1" applyBorder="1"/>
    <xf numFmtId="0" fontId="8" fillId="10" borderId="8" xfId="0" applyFont="1" applyFill="1" applyBorder="1" applyAlignment="1">
      <alignment horizontal="right"/>
    </xf>
    <xf numFmtId="0" fontId="8" fillId="10" borderId="9" xfId="0" applyFont="1" applyFill="1" applyBorder="1"/>
    <xf numFmtId="0" fontId="8" fillId="10" borderId="9" xfId="0" applyFont="1" applyFill="1" applyBorder="1" applyAlignment="1">
      <alignment horizontal="right"/>
    </xf>
    <xf numFmtId="9" fontId="9" fillId="0" borderId="42" xfId="4" applyFont="1" applyFill="1" applyBorder="1"/>
    <xf numFmtId="0" fontId="10" fillId="4" borderId="40" xfId="0" applyFont="1" applyFill="1" applyBorder="1"/>
    <xf numFmtId="165" fontId="10" fillId="4" borderId="41" xfId="1" applyNumberFormat="1" applyFont="1" applyFill="1" applyBorder="1"/>
    <xf numFmtId="9" fontId="9" fillId="10" borderId="47" xfId="4" applyFont="1" applyFill="1" applyBorder="1"/>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7" xfId="0" applyFont="1" applyFill="1" applyBorder="1" applyAlignment="1">
      <alignment horizontal="center"/>
    </xf>
    <xf numFmtId="0" fontId="8" fillId="9" borderId="9" xfId="0" applyFont="1" applyFill="1" applyBorder="1" applyAlignment="1">
      <alignment horizontal="center"/>
    </xf>
    <xf numFmtId="0" fontId="38" fillId="9" borderId="18" xfId="0" applyFont="1" applyFill="1" applyBorder="1" applyAlignment="1">
      <alignment horizontal="center" vertical="center" wrapText="1"/>
    </xf>
    <xf numFmtId="0" fontId="38" fillId="9" borderId="20" xfId="0" applyFont="1" applyFill="1" applyBorder="1" applyAlignment="1">
      <alignment horizontal="center" vertical="center" wrapText="1"/>
    </xf>
    <xf numFmtId="0" fontId="38" fillId="9" borderId="22" xfId="0" applyFont="1" applyFill="1" applyBorder="1" applyAlignment="1">
      <alignment horizontal="center" vertical="center" wrapText="1"/>
    </xf>
    <xf numFmtId="0" fontId="38" fillId="9" borderId="23"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28" xfId="0" applyFont="1" applyFill="1" applyBorder="1" applyAlignment="1">
      <alignment horizontal="center" vertical="center" wrapText="1"/>
    </xf>
    <xf numFmtId="0" fontId="45" fillId="0" borderId="0" xfId="2" applyFont="1" applyAlignment="1" applyProtection="1">
      <alignment horizontal="center"/>
    </xf>
    <xf numFmtId="0" fontId="27" fillId="9" borderId="19" xfId="0" applyFont="1" applyFill="1" applyBorder="1" applyAlignment="1">
      <alignment horizontal="center" vertical="center" wrapText="1"/>
    </xf>
    <xf numFmtId="0" fontId="27" fillId="9" borderId="20"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26"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7" fillId="9" borderId="28" xfId="0" applyFont="1" applyFill="1" applyBorder="1" applyAlignment="1">
      <alignment horizontal="center" vertical="center" wrapText="1"/>
    </xf>
    <xf numFmtId="0" fontId="7" fillId="9" borderId="37" xfId="0" applyFont="1" applyFill="1" applyBorder="1" applyAlignment="1">
      <alignment horizontal="center"/>
    </xf>
    <xf numFmtId="0" fontId="7" fillId="9" borderId="38" xfId="0" applyFont="1" applyFill="1" applyBorder="1" applyAlignment="1">
      <alignment horizontal="center"/>
    </xf>
    <xf numFmtId="0" fontId="11" fillId="0" borderId="39" xfId="0" applyFont="1" applyBorder="1" applyAlignment="1">
      <alignment horizontal="center"/>
    </xf>
    <xf numFmtId="0" fontId="7" fillId="9" borderId="18" xfId="0" applyFont="1" applyFill="1" applyBorder="1" applyAlignment="1">
      <alignment horizontal="center"/>
    </xf>
    <xf numFmtId="0" fontId="7" fillId="9" borderId="19" xfId="0" applyFont="1" applyFill="1" applyBorder="1" applyAlignment="1">
      <alignment horizontal="center"/>
    </xf>
    <xf numFmtId="0" fontId="7" fillId="9" borderId="20" xfId="0" applyFont="1" applyFill="1" applyBorder="1" applyAlignment="1">
      <alignment horizontal="center"/>
    </xf>
    <xf numFmtId="0" fontId="39" fillId="9" borderId="26" xfId="0" applyFont="1" applyFill="1" applyBorder="1" applyAlignment="1">
      <alignment horizontal="center"/>
    </xf>
    <xf numFmtId="0" fontId="39" fillId="9" borderId="27" xfId="0" applyFont="1" applyFill="1" applyBorder="1" applyAlignment="1">
      <alignment horizontal="center"/>
    </xf>
    <xf numFmtId="0" fontId="39" fillId="9" borderId="28" xfId="0" applyFont="1" applyFill="1" applyBorder="1" applyAlignment="1">
      <alignment horizontal="center"/>
    </xf>
    <xf numFmtId="0" fontId="31" fillId="9" borderId="0"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 fillId="9" borderId="26" xfId="0" applyFont="1" applyFill="1" applyBorder="1" applyAlignment="1">
      <alignment horizontal="center"/>
    </xf>
    <xf numFmtId="0" fontId="8" fillId="9" borderId="27" xfId="0" applyFont="1" applyFill="1" applyBorder="1" applyAlignment="1">
      <alignment horizontal="center"/>
    </xf>
    <xf numFmtId="0" fontId="8" fillId="9" borderId="28" xfId="0" applyFont="1" applyFill="1" applyBorder="1" applyAlignment="1">
      <alignment horizontal="center"/>
    </xf>
    <xf numFmtId="170" fontId="11" fillId="0" borderId="4" xfId="0" applyNumberFormat="1" applyFont="1" applyBorder="1" applyAlignment="1">
      <alignment horizontal="center"/>
    </xf>
    <xf numFmtId="170" fontId="11" fillId="0" borderId="5" xfId="0" applyNumberFormat="1" applyFont="1" applyBorder="1" applyAlignment="1">
      <alignment horizontal="center"/>
    </xf>
    <xf numFmtId="170" fontId="11" fillId="0" borderId="6" xfId="0" applyNumberFormat="1" applyFont="1" applyBorder="1" applyAlignment="1">
      <alignment horizontal="center"/>
    </xf>
    <xf numFmtId="0" fontId="8" fillId="9" borderId="43" xfId="0" applyFont="1" applyFill="1" applyBorder="1" applyAlignment="1">
      <alignment horizontal="center"/>
    </xf>
    <xf numFmtId="0" fontId="8" fillId="9" borderId="3" xfId="0" applyFont="1" applyFill="1" applyBorder="1" applyAlignment="1">
      <alignment horizontal="center"/>
    </xf>
    <xf numFmtId="0" fontId="8" fillId="9" borderId="44" xfId="0" applyFont="1" applyFill="1" applyBorder="1" applyAlignment="1">
      <alignment horizontal="center"/>
    </xf>
    <xf numFmtId="0" fontId="17" fillId="9" borderId="0" xfId="0" applyFont="1" applyFill="1" applyAlignment="1">
      <alignment horizontal="center"/>
    </xf>
    <xf numFmtId="0" fontId="10" fillId="3" borderId="0" xfId="0" applyFont="1" applyFill="1" applyAlignment="1">
      <alignment horizontal="center"/>
    </xf>
    <xf numFmtId="0" fontId="10" fillId="4" borderId="47" xfId="0" applyFont="1" applyFill="1" applyBorder="1" applyAlignment="1">
      <alignment horizontal="center"/>
    </xf>
    <xf numFmtId="0" fontId="10" fillId="4" borderId="8" xfId="0" applyFont="1" applyFill="1" applyBorder="1" applyAlignment="1">
      <alignment horizontal="center"/>
    </xf>
    <xf numFmtId="0" fontId="10" fillId="4" borderId="45" xfId="0" applyFont="1" applyFill="1" applyBorder="1" applyAlignment="1">
      <alignment horizontal="center"/>
    </xf>
    <xf numFmtId="0" fontId="10" fillId="4" borderId="7" xfId="0" applyFont="1" applyFill="1" applyBorder="1" applyAlignment="1">
      <alignment horizontal="center"/>
    </xf>
    <xf numFmtId="0" fontId="10" fillId="4" borderId="9" xfId="0" applyFont="1" applyFill="1" applyBorder="1" applyAlignment="1">
      <alignment horizontal="center"/>
    </xf>
    <xf numFmtId="0" fontId="53" fillId="0" borderId="24" xfId="0" applyFont="1" applyBorder="1" applyAlignment="1">
      <alignment horizontal="center"/>
    </xf>
    <xf numFmtId="0" fontId="53" fillId="0" borderId="1" xfId="0" applyFont="1" applyBorder="1" applyAlignment="1">
      <alignment horizontal="center"/>
    </xf>
    <xf numFmtId="0" fontId="53" fillId="0" borderId="25" xfId="0" applyFont="1" applyBorder="1" applyAlignment="1">
      <alignment horizontal="center"/>
    </xf>
    <xf numFmtId="0" fontId="9" fillId="10" borderId="0" xfId="0" applyFont="1" applyFill="1" applyAlignment="1">
      <alignment horizontal="center" vertical="center" wrapText="1"/>
    </xf>
    <xf numFmtId="0" fontId="7" fillId="10" borderId="0" xfId="0" applyFont="1" applyFill="1" applyAlignment="1">
      <alignment horizontal="center"/>
    </xf>
    <xf numFmtId="164" fontId="14" fillId="0" borderId="0" xfId="2" applyNumberFormat="1" applyFont="1" applyBorder="1" applyAlignment="1" applyProtection="1">
      <alignment horizontal="center"/>
    </xf>
    <xf numFmtId="164" fontId="10" fillId="2" borderId="0" xfId="3" applyNumberFormat="1" applyFont="1" applyBorder="1" applyAlignment="1">
      <alignment horizontal="center"/>
    </xf>
    <xf numFmtId="9" fontId="17" fillId="9" borderId="7" xfId="4" applyFont="1" applyFill="1" applyBorder="1" applyAlignment="1">
      <alignment horizontal="center"/>
    </xf>
    <xf numFmtId="9" fontId="17" fillId="9" borderId="8" xfId="4" applyFont="1" applyFill="1" applyBorder="1" applyAlignment="1">
      <alignment horizontal="center"/>
    </xf>
    <xf numFmtId="9" fontId="17" fillId="9" borderId="9" xfId="4"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0" fontId="7" fillId="6" borderId="18"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28" fillId="6" borderId="26" xfId="2" applyFont="1" applyFill="1" applyBorder="1" applyAlignment="1" applyProtection="1">
      <alignment horizontal="center"/>
    </xf>
    <xf numFmtId="0" fontId="28" fillId="6" borderId="27" xfId="2" applyFont="1" applyFill="1" applyBorder="1" applyAlignment="1" applyProtection="1">
      <alignment horizontal="center"/>
    </xf>
    <xf numFmtId="0" fontId="28" fillId="6" borderId="28" xfId="2" applyFont="1" applyFill="1" applyBorder="1" applyAlignment="1" applyProtection="1">
      <alignment horizontal="center"/>
    </xf>
    <xf numFmtId="0" fontId="8" fillId="8" borderId="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9" fillId="7" borderId="1" xfId="0" applyFont="1" applyFill="1" applyBorder="1" applyAlignment="1">
      <alignment horizontal="center"/>
    </xf>
    <xf numFmtId="0" fontId="26" fillId="8" borderId="1" xfId="0" applyFont="1" applyFill="1" applyBorder="1" applyAlignment="1">
      <alignment horizontal="center"/>
    </xf>
    <xf numFmtId="0" fontId="9" fillId="0" borderId="4"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7" fillId="7" borderId="37" xfId="0" applyFont="1" applyFill="1" applyBorder="1" applyAlignment="1">
      <alignment horizontal="center"/>
    </xf>
    <xf numFmtId="0" fontId="7" fillId="7" borderId="38" xfId="0" applyFont="1" applyFill="1" applyBorder="1" applyAlignment="1">
      <alignment horizontal="center"/>
    </xf>
    <xf numFmtId="0" fontId="23" fillId="9" borderId="7" xfId="0" applyFont="1" applyFill="1" applyBorder="1" applyAlignment="1">
      <alignment horizontal="center"/>
    </xf>
    <xf numFmtId="0" fontId="23" fillId="9" borderId="9"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8" xfId="0" applyFont="1" applyFill="1" applyBorder="1" applyAlignment="1">
      <alignment horizontal="center" vertic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8" fillId="7" borderId="4" xfId="0" applyFont="1" applyFill="1" applyBorder="1" applyAlignment="1">
      <alignment horizontal="center"/>
    </xf>
    <xf numFmtId="0" fontId="8" fillId="7" borderId="5" xfId="0" applyFont="1" applyFill="1" applyBorder="1" applyAlignment="1">
      <alignment horizontal="center"/>
    </xf>
    <xf numFmtId="0" fontId="8" fillId="7" borderId="6" xfId="0" applyFont="1" applyFill="1" applyBorder="1" applyAlignment="1">
      <alignment horizontal="center"/>
    </xf>
    <xf numFmtId="0" fontId="7" fillId="9" borderId="4" xfId="0" applyFont="1" applyFill="1" applyBorder="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0" fontId="36" fillId="9" borderId="4" xfId="0" applyFont="1" applyFill="1" applyBorder="1" applyAlignment="1">
      <alignment horizontal="center"/>
    </xf>
    <xf numFmtId="0" fontId="36" fillId="9" borderId="5" xfId="0" applyFont="1" applyFill="1" applyBorder="1" applyAlignment="1">
      <alignment horizontal="center"/>
    </xf>
    <xf numFmtId="0" fontId="36" fillId="9" borderId="6" xfId="0" applyFont="1" applyFill="1" applyBorder="1" applyAlignment="1">
      <alignment horizontal="center"/>
    </xf>
    <xf numFmtId="170" fontId="37" fillId="7" borderId="4" xfId="1" applyNumberFormat="1" applyFont="1" applyFill="1" applyBorder="1" applyAlignment="1">
      <alignment horizontal="right"/>
    </xf>
    <xf numFmtId="170" fontId="37" fillId="7" borderId="6" xfId="1" applyNumberFormat="1" applyFont="1" applyFill="1" applyBorder="1" applyAlignment="1">
      <alignment horizontal="right"/>
    </xf>
    <xf numFmtId="0" fontId="36" fillId="9" borderId="18" xfId="0" applyFont="1" applyFill="1" applyBorder="1" applyAlignment="1">
      <alignment horizontal="center" vertical="center" wrapText="1"/>
    </xf>
    <xf numFmtId="0" fontId="36" fillId="9" borderId="19" xfId="0" applyFont="1" applyFill="1" applyBorder="1" applyAlignment="1">
      <alignment horizontal="center" vertical="center" wrapText="1"/>
    </xf>
    <xf numFmtId="0" fontId="36" fillId="9" borderId="20"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9" borderId="26" xfId="0" applyFont="1" applyFill="1" applyBorder="1" applyAlignment="1">
      <alignment horizontal="center" vertical="center" wrapText="1"/>
    </xf>
    <xf numFmtId="0" fontId="36" fillId="9" borderId="27" xfId="0" applyFont="1" applyFill="1" applyBorder="1" applyAlignment="1">
      <alignment horizontal="center" vertical="center" wrapText="1"/>
    </xf>
    <xf numFmtId="0" fontId="36" fillId="9" borderId="28" xfId="0" applyFont="1" applyFill="1" applyBorder="1" applyAlignment="1">
      <alignment horizontal="center" vertical="center" wrapText="1"/>
    </xf>
  </cellXfs>
  <cellStyles count="5">
    <cellStyle name="Accent6" xfId="3" builtinId="49"/>
    <cellStyle name="Comma" xfId="1" builtinId="3"/>
    <cellStyle name="Hyperlink" xfId="2" builtinId="8"/>
    <cellStyle name="Normal" xfId="0" builtinId="0"/>
    <cellStyle name="Percent" xfId="4" builtinId="5"/>
  </cellStyles>
  <dxfs count="65">
    <dxf>
      <font>
        <b/>
        <i val="0"/>
        <color theme="0"/>
      </font>
      <fill>
        <patternFill>
          <bgColor theme="5"/>
        </patternFill>
      </fill>
    </dxf>
    <dxf>
      <font>
        <strike val="0"/>
        <outline val="0"/>
        <shadow val="0"/>
        <u val="none"/>
        <vertAlign val="baseline"/>
        <sz val="10"/>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numFmt numFmtId="165" formatCode="[$-409]mmm\-yy;@"/>
    </dxf>
    <dxf>
      <font>
        <b/>
        <i val="0"/>
        <strike val="0"/>
        <condense val="0"/>
        <extend val="0"/>
        <outline val="0"/>
        <shadow val="0"/>
        <u val="none"/>
        <vertAlign val="baseline"/>
        <sz val="10"/>
        <color theme="0"/>
        <name val="Arial"/>
        <family val="2"/>
        <scheme val="none"/>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4" formatCode="0.0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Profit Margin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lineChart>
        <c:grouping val="standard"/>
        <c:varyColors val="0"/>
        <c:ser>
          <c:idx val="0"/>
          <c:order val="0"/>
          <c:tx>
            <c:strRef>
              <c:f>Charts!$A$51</c:f>
              <c:strCache>
                <c:ptCount val="1"/>
                <c:pt idx="0">
                  <c:v>Operating Margin</c:v>
                </c:pt>
              </c:strCache>
            </c:strRef>
          </c:tx>
          <c:spPr>
            <a:ln w="28575" cap="rnd">
              <a:solidFill>
                <a:schemeClr val="accent1"/>
              </a:solidFill>
              <a:round/>
            </a:ln>
            <a:effectLst/>
          </c:spPr>
          <c:marker>
            <c:symbol val="none"/>
          </c:marker>
          <c:cat>
            <c:numRef>
              <c:f>Charts!$B$50:$K$50</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Charts!$B$51:$K$51</c:f>
              <c:numCache>
                <c:formatCode>0%</c:formatCode>
                <c:ptCount val="10"/>
                <c:pt idx="0">
                  <c:v>0.13672648695686057</c:v>
                </c:pt>
                <c:pt idx="1">
                  <c:v>0.16892623386710909</c:v>
                </c:pt>
                <c:pt idx="2">
                  <c:v>0.13056496234392032</c:v>
                </c:pt>
                <c:pt idx="3">
                  <c:v>0.15347450679692926</c:v>
                </c:pt>
                <c:pt idx="4">
                  <c:v>0.13818852235200876</c:v>
                </c:pt>
                <c:pt idx="5">
                  <c:v>0.14005911660594247</c:v>
                </c:pt>
                <c:pt idx="6">
                  <c:v>0.12278786165095162</c:v>
                </c:pt>
                <c:pt idx="7">
                  <c:v>0.15662964486493902</c:v>
                </c:pt>
                <c:pt idx="8">
                  <c:v>0.16262228749992122</c:v>
                </c:pt>
                <c:pt idx="9">
                  <c:v>0.16382593004326035</c:v>
                </c:pt>
              </c:numCache>
            </c:numRef>
          </c:val>
          <c:smooth val="0"/>
          <c:extLst>
            <c:ext xmlns:c16="http://schemas.microsoft.com/office/drawing/2014/chart" uri="{C3380CC4-5D6E-409C-BE32-E72D297353CC}">
              <c16:uniqueId val="{00000000-26E1-4347-B20E-A510AB943424}"/>
            </c:ext>
          </c:extLst>
        </c:ser>
        <c:ser>
          <c:idx val="1"/>
          <c:order val="1"/>
          <c:tx>
            <c:strRef>
              <c:f>Charts!$A$52</c:f>
              <c:strCache>
                <c:ptCount val="1"/>
                <c:pt idx="0">
                  <c:v>PBT Margin</c:v>
                </c:pt>
              </c:strCache>
            </c:strRef>
          </c:tx>
          <c:spPr>
            <a:ln w="28575" cap="rnd">
              <a:solidFill>
                <a:schemeClr val="accent2"/>
              </a:solidFill>
              <a:round/>
            </a:ln>
            <a:effectLst/>
          </c:spPr>
          <c:marker>
            <c:symbol val="none"/>
          </c:marker>
          <c:cat>
            <c:numRef>
              <c:f>Charts!$B$50:$K$50</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Charts!$B$52:$K$52</c:f>
              <c:numCache>
                <c:formatCode>0%</c:formatCode>
                <c:ptCount val="10"/>
                <c:pt idx="0">
                  <c:v>0.14460935521368409</c:v>
                </c:pt>
                <c:pt idx="1">
                  <c:v>0.17969905154021601</c:v>
                </c:pt>
                <c:pt idx="2">
                  <c:v>0.12396992875012963</c:v>
                </c:pt>
                <c:pt idx="3">
                  <c:v>0.12149397155014431</c:v>
                </c:pt>
                <c:pt idx="4">
                  <c:v>0.1064114900175068</c:v>
                </c:pt>
                <c:pt idx="5">
                  <c:v>0.11344002703016012</c:v>
                </c:pt>
                <c:pt idx="6">
                  <c:v>0.12067369214762919</c:v>
                </c:pt>
                <c:pt idx="7">
                  <c:v>0.1559229609003365</c:v>
                </c:pt>
                <c:pt idx="8">
                  <c:v>0.16345209866788135</c:v>
                </c:pt>
                <c:pt idx="9">
                  <c:v>0.16270804446348788</c:v>
                </c:pt>
              </c:numCache>
            </c:numRef>
          </c:val>
          <c:smooth val="0"/>
          <c:extLst>
            <c:ext xmlns:c16="http://schemas.microsoft.com/office/drawing/2014/chart" uri="{C3380CC4-5D6E-409C-BE32-E72D297353CC}">
              <c16:uniqueId val="{00000001-26E1-4347-B20E-A510AB943424}"/>
            </c:ext>
          </c:extLst>
        </c:ser>
        <c:ser>
          <c:idx val="2"/>
          <c:order val="2"/>
          <c:tx>
            <c:strRef>
              <c:f>Charts!$A$53</c:f>
              <c:strCache>
                <c:ptCount val="1"/>
                <c:pt idx="0">
                  <c:v>Net Margin</c:v>
                </c:pt>
              </c:strCache>
            </c:strRef>
          </c:tx>
          <c:spPr>
            <a:ln w="28575" cap="rnd">
              <a:solidFill>
                <a:schemeClr val="accent3"/>
              </a:solidFill>
              <a:round/>
            </a:ln>
            <a:effectLst/>
          </c:spPr>
          <c:marker>
            <c:symbol val="none"/>
          </c:marker>
          <c:cat>
            <c:numRef>
              <c:f>Charts!$B$50:$K$50</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Charts!$B$53:$K$53</c:f>
              <c:numCache>
                <c:formatCode>0%</c:formatCode>
                <c:ptCount val="10"/>
                <c:pt idx="0">
                  <c:v>0.10404639292416992</c:v>
                </c:pt>
                <c:pt idx="1">
                  <c:v>0.14162993442136093</c:v>
                </c:pt>
                <c:pt idx="2">
                  <c:v>9.9386893343774402E-2</c:v>
                </c:pt>
                <c:pt idx="3">
                  <c:v>0.10085783851159269</c:v>
                </c:pt>
                <c:pt idx="4">
                  <c:v>8.9117729596505713E-2</c:v>
                </c:pt>
                <c:pt idx="5">
                  <c:v>8.3443750007418313E-2</c:v>
                </c:pt>
                <c:pt idx="6">
                  <c:v>8.6482293105385674E-2</c:v>
                </c:pt>
                <c:pt idx="7">
                  <c:v>0.11110724368642923</c:v>
                </c:pt>
                <c:pt idx="8">
                  <c:v>0.11849352606940398</c:v>
                </c:pt>
                <c:pt idx="9">
                  <c:v>0.11471622057250763</c:v>
                </c:pt>
              </c:numCache>
            </c:numRef>
          </c:val>
          <c:smooth val="0"/>
          <c:extLst>
            <c:ext xmlns:c16="http://schemas.microsoft.com/office/drawing/2014/chart" uri="{C3380CC4-5D6E-409C-BE32-E72D297353CC}">
              <c16:uniqueId val="{00000002-26E1-4347-B20E-A510AB943424}"/>
            </c:ext>
          </c:extLst>
        </c:ser>
        <c:dLbls>
          <c:showLegendKey val="0"/>
          <c:showVal val="0"/>
          <c:showCatName val="0"/>
          <c:showSerName val="0"/>
          <c:showPercent val="0"/>
          <c:showBubbleSize val="0"/>
        </c:dLbls>
        <c:smooth val="0"/>
        <c:axId val="744897600"/>
        <c:axId val="744897272"/>
      </c:lineChart>
      <c:dateAx>
        <c:axId val="74489760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7272"/>
        <c:crosses val="autoZero"/>
        <c:auto val="1"/>
        <c:lblOffset val="100"/>
        <c:baseTimeUnit val="years"/>
      </c:dateAx>
      <c:valAx>
        <c:axId val="744897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7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Capital Allocation Quality</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barChart>
        <c:barDir val="col"/>
        <c:grouping val="clustered"/>
        <c:varyColors val="0"/>
        <c:ser>
          <c:idx val="0"/>
          <c:order val="0"/>
          <c:tx>
            <c:strRef>
              <c:f>Charts!$A$57</c:f>
              <c:strCache>
                <c:ptCount val="1"/>
                <c:pt idx="0">
                  <c:v>ROE</c:v>
                </c:pt>
              </c:strCache>
            </c:strRef>
          </c:tx>
          <c:spPr>
            <a:solidFill>
              <a:schemeClr val="accent1"/>
            </a:solidFill>
            <a:ln>
              <a:noFill/>
            </a:ln>
            <a:effectLst/>
          </c:spPr>
          <c:invertIfNegative val="0"/>
          <c:cat>
            <c:numRef>
              <c:f>Charts!$B$56:$K$56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Charts!$B$57:$K$57</c:f>
              <c:numCache>
                <c:formatCode>0%</c:formatCode>
                <c:ptCount val="10"/>
                <c:pt idx="0">
                  <c:v>0.33723870288758806</c:v>
                </c:pt>
                <c:pt idx="1">
                  <c:v>0.64410306434017739</c:v>
                </c:pt>
                <c:pt idx="2">
                  <c:v>0.65218567958701856</c:v>
                </c:pt>
                <c:pt idx="3">
                  <c:v>0.55436462517162666</c:v>
                </c:pt>
                <c:pt idx="4">
                  <c:v>0.42310396625012059</c:v>
                </c:pt>
                <c:pt idx="5">
                  <c:v>0.37663017177184493</c:v>
                </c:pt>
                <c:pt idx="6">
                  <c:v>0.36470259106328456</c:v>
                </c:pt>
                <c:pt idx="7">
                  <c:v>0.35771375790799842</c:v>
                </c:pt>
                <c:pt idx="8">
                  <c:v>0.33399496997910305</c:v>
                </c:pt>
                <c:pt idx="9">
                  <c:v>0.31416413456505643</c:v>
                </c:pt>
              </c:numCache>
            </c:numRef>
          </c:val>
          <c:extLst>
            <c:ext xmlns:c16="http://schemas.microsoft.com/office/drawing/2014/chart" uri="{C3380CC4-5D6E-409C-BE32-E72D297353CC}">
              <c16:uniqueId val="{00000000-6118-4ABA-9339-77EEC81DC73E}"/>
            </c:ext>
          </c:extLst>
        </c:ser>
        <c:ser>
          <c:idx val="1"/>
          <c:order val="1"/>
          <c:tx>
            <c:strRef>
              <c:f>Charts!$A$58</c:f>
              <c:strCache>
                <c:ptCount val="1"/>
                <c:pt idx="0">
                  <c:v>ROCE</c:v>
                </c:pt>
              </c:strCache>
            </c:strRef>
          </c:tx>
          <c:spPr>
            <a:solidFill>
              <a:schemeClr val="accent2"/>
            </a:solidFill>
            <a:ln>
              <a:noFill/>
            </a:ln>
            <a:effectLst/>
          </c:spPr>
          <c:invertIfNegative val="0"/>
          <c:cat>
            <c:numRef>
              <c:f>Charts!$B$56:$K$56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Charts!$B$58:$K$58</c:f>
              <c:numCache>
                <c:formatCode>0%</c:formatCode>
                <c:ptCount val="10"/>
                <c:pt idx="0">
                  <c:v>0.45988131695899204</c:v>
                </c:pt>
                <c:pt idx="1">
                  <c:v>0.80254598490534013</c:v>
                </c:pt>
                <c:pt idx="2">
                  <c:v>0.66310170685124503</c:v>
                </c:pt>
                <c:pt idx="3">
                  <c:v>0.57613384784609312</c:v>
                </c:pt>
                <c:pt idx="4">
                  <c:v>0.44992758267791882</c:v>
                </c:pt>
                <c:pt idx="5">
                  <c:v>0.48929408425714616</c:v>
                </c:pt>
                <c:pt idx="6">
                  <c:v>0.51058576772613451</c:v>
                </c:pt>
                <c:pt idx="7">
                  <c:v>0.50255308503906893</c:v>
                </c:pt>
                <c:pt idx="8">
                  <c:v>0.46131700307280332</c:v>
                </c:pt>
                <c:pt idx="9">
                  <c:v>0.44612656429498826</c:v>
                </c:pt>
              </c:numCache>
            </c:numRef>
          </c:val>
          <c:extLst>
            <c:ext xmlns:c16="http://schemas.microsoft.com/office/drawing/2014/chart" uri="{C3380CC4-5D6E-409C-BE32-E72D297353CC}">
              <c16:uniqueId val="{00000001-6118-4ABA-9339-77EEC81DC73E}"/>
            </c:ext>
          </c:extLst>
        </c:ser>
        <c:dLbls>
          <c:showLegendKey val="0"/>
          <c:showVal val="0"/>
          <c:showCatName val="0"/>
          <c:showSerName val="0"/>
          <c:showPercent val="0"/>
          <c:showBubbleSize val="0"/>
        </c:dLbls>
        <c:gapWidth val="219"/>
        <c:overlap val="-27"/>
        <c:axId val="683252768"/>
        <c:axId val="683254736"/>
      </c:barChart>
      <c:dateAx>
        <c:axId val="68325276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54736"/>
        <c:crosses val="autoZero"/>
        <c:auto val="1"/>
        <c:lblOffset val="100"/>
        <c:baseTimeUnit val="years"/>
      </c:dateAx>
      <c:valAx>
        <c:axId val="683254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52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Revenue and Profit Growth</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lineChart>
        <c:grouping val="standard"/>
        <c:varyColors val="0"/>
        <c:ser>
          <c:idx val="0"/>
          <c:order val="0"/>
          <c:tx>
            <c:strRef>
              <c:f>Charts!$A$62</c:f>
              <c:strCache>
                <c:ptCount val="1"/>
                <c:pt idx="0">
                  <c:v>Revenue Growth</c:v>
                </c:pt>
              </c:strCache>
            </c:strRef>
          </c:tx>
          <c:spPr>
            <a:ln w="28575" cap="rnd">
              <a:solidFill>
                <a:schemeClr val="accent1"/>
              </a:solidFill>
              <a:round/>
            </a:ln>
            <a:effectLst/>
          </c:spPr>
          <c:marker>
            <c:symbol val="none"/>
          </c:marker>
          <c:cat>
            <c:numRef>
              <c:f>Charts!$B$61:$J$61</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Charts!$B$62:$J$62</c:f>
              <c:numCache>
                <c:formatCode>0%</c:formatCode>
                <c:ptCount val="9"/>
                <c:pt idx="0">
                  <c:v>0.27916442083525439</c:v>
                </c:pt>
                <c:pt idx="1">
                  <c:v>0.23097527760185499</c:v>
                </c:pt>
                <c:pt idx="2">
                  <c:v>0.21554361728287486</c:v>
                </c:pt>
                <c:pt idx="3">
                  <c:v>8.0189897548796907E-3</c:v>
                </c:pt>
                <c:pt idx="4">
                  <c:v>6.3419430489003892E-2</c:v>
                </c:pt>
                <c:pt idx="5">
                  <c:v>9.1386233371723469E-2</c:v>
                </c:pt>
                <c:pt idx="6">
                  <c:v>3.1081771813248338E-2</c:v>
                </c:pt>
                <c:pt idx="7">
                  <c:v>2.0307495420617272E-3</c:v>
                </c:pt>
                <c:pt idx="8">
                  <c:v>0.13087613322732339</c:v>
                </c:pt>
              </c:numCache>
            </c:numRef>
          </c:val>
          <c:smooth val="0"/>
          <c:extLst>
            <c:ext xmlns:c16="http://schemas.microsoft.com/office/drawing/2014/chart" uri="{C3380CC4-5D6E-409C-BE32-E72D297353CC}">
              <c16:uniqueId val="{00000000-BED8-4D86-91BD-1B6873BA3D65}"/>
            </c:ext>
          </c:extLst>
        </c:ser>
        <c:ser>
          <c:idx val="1"/>
          <c:order val="1"/>
          <c:tx>
            <c:strRef>
              <c:f>Charts!$A$63</c:f>
              <c:strCache>
                <c:ptCount val="1"/>
                <c:pt idx="0">
                  <c:v>PBT Growth</c:v>
                </c:pt>
              </c:strCache>
            </c:strRef>
          </c:tx>
          <c:spPr>
            <a:ln w="28575" cap="rnd">
              <a:solidFill>
                <a:schemeClr val="accent2"/>
              </a:solidFill>
              <a:round/>
            </a:ln>
            <a:effectLst/>
          </c:spPr>
          <c:marker>
            <c:symbol val="none"/>
          </c:marker>
          <c:cat>
            <c:numRef>
              <c:f>Charts!$B$61:$J$61</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Charts!$B$63:$J$63</c:f>
              <c:numCache>
                <c:formatCode>0%</c:formatCode>
                <c:ptCount val="9"/>
                <c:pt idx="0">
                  <c:v>0.58955575763699497</c:v>
                </c:pt>
                <c:pt idx="1">
                  <c:v>-0.15078061820865662</c:v>
                </c:pt>
                <c:pt idx="2">
                  <c:v>0.19126648813187042</c:v>
                </c:pt>
                <c:pt idx="3">
                  <c:v>-0.11711831215026858</c:v>
                </c:pt>
                <c:pt idx="4">
                  <c:v>0.13365886446307029</c:v>
                </c:pt>
                <c:pt idx="5">
                  <c:v>0.16098003313279041</c:v>
                </c:pt>
                <c:pt idx="6">
                  <c:v>0.3322648866565352</c:v>
                </c:pt>
                <c:pt idx="7">
                  <c:v>5.0416359442329695E-2</c:v>
                </c:pt>
                <c:pt idx="8">
                  <c:v>0.12572824495648671</c:v>
                </c:pt>
              </c:numCache>
            </c:numRef>
          </c:val>
          <c:smooth val="0"/>
          <c:extLst>
            <c:ext xmlns:c16="http://schemas.microsoft.com/office/drawing/2014/chart" uri="{C3380CC4-5D6E-409C-BE32-E72D297353CC}">
              <c16:uniqueId val="{00000001-BED8-4D86-91BD-1B6873BA3D65}"/>
            </c:ext>
          </c:extLst>
        </c:ser>
        <c:ser>
          <c:idx val="2"/>
          <c:order val="2"/>
          <c:tx>
            <c:strRef>
              <c:f>Charts!$A$64</c:f>
              <c:strCache>
                <c:ptCount val="1"/>
                <c:pt idx="0">
                  <c:v>Net Profit Growth</c:v>
                </c:pt>
              </c:strCache>
            </c:strRef>
          </c:tx>
          <c:spPr>
            <a:ln w="28575" cap="rnd">
              <a:solidFill>
                <a:schemeClr val="accent3"/>
              </a:solidFill>
              <a:round/>
            </a:ln>
            <a:effectLst/>
          </c:spPr>
          <c:marker>
            <c:symbol val="none"/>
          </c:marker>
          <c:cat>
            <c:numRef>
              <c:f>Charts!$B$61:$J$61</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Charts!$B$64:$J$64</c:f>
              <c:numCache>
                <c:formatCode>0%</c:formatCode>
                <c:ptCount val="9"/>
                <c:pt idx="0">
                  <c:v>0.74122300586693357</c:v>
                </c:pt>
                <c:pt idx="1">
                  <c:v>-0.13617972695052905</c:v>
                </c:pt>
                <c:pt idx="2">
                  <c:v>0.23353389698635652</c:v>
                </c:pt>
                <c:pt idx="3">
                  <c:v>-0.10931698435325055</c:v>
                </c:pt>
                <c:pt idx="4">
                  <c:v>-4.2867394342269716E-3</c:v>
                </c:pt>
                <c:pt idx="5">
                  <c:v>0.13112826445653747</c:v>
                </c:pt>
                <c:pt idx="6">
                  <c:v>0.32467178618735715</c:v>
                </c:pt>
                <c:pt idx="7">
                  <c:v>6.8644606811617326E-2</c:v>
                </c:pt>
                <c:pt idx="8">
                  <c:v>9.4826360922915187E-2</c:v>
                </c:pt>
              </c:numCache>
            </c:numRef>
          </c:val>
          <c:smooth val="0"/>
          <c:extLst>
            <c:ext xmlns:c16="http://schemas.microsoft.com/office/drawing/2014/chart" uri="{C3380CC4-5D6E-409C-BE32-E72D297353CC}">
              <c16:uniqueId val="{00000002-BED8-4D86-91BD-1B6873BA3D65}"/>
            </c:ext>
          </c:extLst>
        </c:ser>
        <c:dLbls>
          <c:showLegendKey val="0"/>
          <c:showVal val="0"/>
          <c:showCatName val="0"/>
          <c:showSerName val="0"/>
          <c:showPercent val="0"/>
          <c:showBubbleSize val="0"/>
        </c:dLbls>
        <c:smooth val="0"/>
        <c:axId val="683222432"/>
        <c:axId val="744898256"/>
      </c:lineChart>
      <c:dateAx>
        <c:axId val="68322243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8256"/>
        <c:crosses val="autoZero"/>
        <c:auto val="1"/>
        <c:lblOffset val="100"/>
        <c:baseTimeUnit val="years"/>
      </c:dateAx>
      <c:valAx>
        <c:axId val="74489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Revenue Over Time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barChart>
        <c:barDir val="col"/>
        <c:grouping val="clustered"/>
        <c:varyColors val="0"/>
        <c:ser>
          <c:idx val="0"/>
          <c:order val="0"/>
          <c:tx>
            <c:strRef>
              <c:f>Charts!$A$68</c:f>
              <c:strCache>
                <c:ptCount val="1"/>
                <c:pt idx="0">
                  <c:v>Revenue</c:v>
                </c:pt>
              </c:strCache>
            </c:strRef>
          </c:tx>
          <c:spPr>
            <a:solidFill>
              <a:schemeClr val="accent1"/>
            </a:solidFill>
            <a:ln>
              <a:noFill/>
            </a:ln>
            <a:effectLst/>
          </c:spPr>
          <c:invertIfNegative val="0"/>
          <c:cat>
            <c:numRef>
              <c:f>Charts!$B$67:$K$67</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Charts!$B$68:$K$68</c:f>
              <c:numCache>
                <c:formatCode>_ * #,##0_ ;_ * \-#,##0_ ;_ * "-"??_ ;_ @_ </c:formatCode>
                <c:ptCount val="10"/>
                <c:pt idx="0">
                  <c:v>12319.12</c:v>
                </c:pt>
                <c:pt idx="1">
                  <c:v>15758.18</c:v>
                </c:pt>
                <c:pt idx="2">
                  <c:v>19397.93</c:v>
                </c:pt>
                <c:pt idx="3">
                  <c:v>23579.03</c:v>
                </c:pt>
                <c:pt idx="4">
                  <c:v>23768.11</c:v>
                </c:pt>
                <c:pt idx="5">
                  <c:v>25275.47</c:v>
                </c:pt>
                <c:pt idx="6">
                  <c:v>27585.3</c:v>
                </c:pt>
                <c:pt idx="7">
                  <c:v>28442.7</c:v>
                </c:pt>
                <c:pt idx="8">
                  <c:v>28500.46</c:v>
                </c:pt>
                <c:pt idx="9">
                  <c:v>32230.49</c:v>
                </c:pt>
              </c:numCache>
            </c:numRef>
          </c:val>
          <c:extLst>
            <c:ext xmlns:c16="http://schemas.microsoft.com/office/drawing/2014/chart" uri="{C3380CC4-5D6E-409C-BE32-E72D297353CC}">
              <c16:uniqueId val="{00000000-5CBF-4601-96D0-0E949031A41A}"/>
            </c:ext>
          </c:extLst>
        </c:ser>
        <c:dLbls>
          <c:showLegendKey val="0"/>
          <c:showVal val="0"/>
          <c:showCatName val="0"/>
          <c:showSerName val="0"/>
          <c:showPercent val="0"/>
          <c:showBubbleSize val="0"/>
        </c:dLbls>
        <c:gapWidth val="219"/>
        <c:overlap val="-27"/>
        <c:axId val="683224728"/>
        <c:axId val="683225056"/>
      </c:barChart>
      <c:dateAx>
        <c:axId val="68322472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5056"/>
        <c:crosses val="autoZero"/>
        <c:auto val="1"/>
        <c:lblOffset val="100"/>
        <c:baseTimeUnit val="years"/>
      </c:dateAx>
      <c:valAx>
        <c:axId val="683225056"/>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4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Profit Over Time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barChart>
        <c:barDir val="col"/>
        <c:grouping val="clustered"/>
        <c:varyColors val="0"/>
        <c:ser>
          <c:idx val="0"/>
          <c:order val="0"/>
          <c:tx>
            <c:strRef>
              <c:f>Charts!$A$69</c:f>
              <c:strCache>
                <c:ptCount val="1"/>
                <c:pt idx="0">
                  <c:v>PBT</c:v>
                </c:pt>
              </c:strCache>
            </c:strRef>
          </c:tx>
          <c:spPr>
            <a:solidFill>
              <a:schemeClr val="accent1"/>
            </a:solidFill>
            <a:ln>
              <a:noFill/>
            </a:ln>
            <a:effectLst/>
          </c:spPr>
          <c:invertIfNegative val="0"/>
          <c:cat>
            <c:numRef>
              <c:f>Charts!$B$67:$K$67</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Charts!$B$69:$K$69</c:f>
              <c:numCache>
                <c:formatCode>_ * #,##0_ ;_ * \-#,##0_ ;_ * "-"??_ ;_ @_ </c:formatCode>
                <c:ptCount val="10"/>
                <c:pt idx="0">
                  <c:v>1781.4600000000003</c:v>
                </c:pt>
                <c:pt idx="1">
                  <c:v>2831.7300000000014</c:v>
                </c:pt>
                <c:pt idx="2">
                  <c:v>2404.760000000002</c:v>
                </c:pt>
                <c:pt idx="3">
                  <c:v>2864.7099999999991</c:v>
                </c:pt>
                <c:pt idx="4">
                  <c:v>2529.2000000000035</c:v>
                </c:pt>
                <c:pt idx="5">
                  <c:v>2867.2500000000014</c:v>
                </c:pt>
                <c:pt idx="6">
                  <c:v>3328.8199999999952</c:v>
                </c:pt>
                <c:pt idx="7">
                  <c:v>4434.8700000000008</c:v>
                </c:pt>
                <c:pt idx="8">
                  <c:v>4658.4600000000055</c:v>
                </c:pt>
                <c:pt idx="9">
                  <c:v>5244.1600000000017</c:v>
                </c:pt>
              </c:numCache>
            </c:numRef>
          </c:val>
          <c:extLst>
            <c:ext xmlns:c16="http://schemas.microsoft.com/office/drawing/2014/chart" uri="{C3380CC4-5D6E-409C-BE32-E72D297353CC}">
              <c16:uniqueId val="{00000000-2C56-4BEE-93A3-2E2983257535}"/>
            </c:ext>
          </c:extLst>
        </c:ser>
        <c:ser>
          <c:idx val="1"/>
          <c:order val="1"/>
          <c:tx>
            <c:strRef>
              <c:f>Charts!$A$70</c:f>
              <c:strCache>
                <c:ptCount val="1"/>
                <c:pt idx="0">
                  <c:v>Net Profit</c:v>
                </c:pt>
              </c:strCache>
            </c:strRef>
          </c:tx>
          <c:spPr>
            <a:solidFill>
              <a:schemeClr val="accent2"/>
            </a:solidFill>
            <a:ln>
              <a:noFill/>
            </a:ln>
            <a:effectLst/>
          </c:spPr>
          <c:invertIfNegative val="0"/>
          <c:cat>
            <c:numRef>
              <c:f>Charts!$B$67:$K$67</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Charts!$B$70:$K$70</c:f>
              <c:numCache>
                <c:formatCode>_ * #,##0_ ;_ * \-#,##0_ ;_ * "-"??_ ;_ @_ </c:formatCode>
                <c:ptCount val="10"/>
                <c:pt idx="0">
                  <c:v>1281.7600000000002</c:v>
                </c:pt>
                <c:pt idx="1">
                  <c:v>2231.8300000000013</c:v>
                </c:pt>
                <c:pt idx="2">
                  <c:v>1927.9000000000019</c:v>
                </c:pt>
                <c:pt idx="3">
                  <c:v>2378.1299999999992</c:v>
                </c:pt>
                <c:pt idx="4">
                  <c:v>2118.1600000000035</c:v>
                </c:pt>
                <c:pt idx="5">
                  <c:v>2109.0800000000013</c:v>
                </c:pt>
                <c:pt idx="6">
                  <c:v>2385.6399999999953</c:v>
                </c:pt>
                <c:pt idx="7">
                  <c:v>3160.1900000000005</c:v>
                </c:pt>
                <c:pt idx="8">
                  <c:v>3377.1200000000053</c:v>
                </c:pt>
                <c:pt idx="9">
                  <c:v>3697.3600000000015</c:v>
                </c:pt>
              </c:numCache>
            </c:numRef>
          </c:val>
          <c:extLst>
            <c:ext xmlns:c16="http://schemas.microsoft.com/office/drawing/2014/chart" uri="{C3380CC4-5D6E-409C-BE32-E72D297353CC}">
              <c16:uniqueId val="{00000001-2C56-4BEE-93A3-2E2983257535}"/>
            </c:ext>
          </c:extLst>
        </c:ser>
        <c:dLbls>
          <c:showLegendKey val="0"/>
          <c:showVal val="0"/>
          <c:showCatName val="0"/>
          <c:showSerName val="0"/>
          <c:showPercent val="0"/>
          <c:showBubbleSize val="0"/>
        </c:dLbls>
        <c:gapWidth val="219"/>
        <c:overlap val="-27"/>
        <c:axId val="745524456"/>
        <c:axId val="745517240"/>
      </c:barChart>
      <c:dateAx>
        <c:axId val="745524456"/>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5517240"/>
        <c:crosses val="autoZero"/>
        <c:auto val="1"/>
        <c:lblOffset val="100"/>
        <c:baseTimeUnit val="years"/>
      </c:dateAx>
      <c:valAx>
        <c:axId val="7455172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5524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15875</xdr:colOff>
      <xdr:row>0</xdr:row>
      <xdr:rowOff>6350</xdr:rowOff>
    </xdr:from>
    <xdr:to>
      <xdr:col>7</xdr:col>
      <xdr:colOff>460375</xdr:colOff>
      <xdr:row>14</xdr:row>
      <xdr:rowOff>171450</xdr:rowOff>
    </xdr:to>
    <xdr:graphicFrame macro="">
      <xdr:nvGraphicFramePr>
        <xdr:cNvPr id="5" name="Chart 4">
          <a:extLst>
            <a:ext uri="{FF2B5EF4-FFF2-40B4-BE49-F238E27FC236}">
              <a16:creationId xmlns:a16="http://schemas.microsoft.com/office/drawing/2014/main" id="{39619E8A-D22F-490B-B95E-81C73B5AFA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466725</xdr:colOff>
      <xdr:row>0</xdr:row>
      <xdr:rowOff>12700</xdr:rowOff>
    </xdr:from>
    <xdr:to>
      <xdr:col>15</xdr:col>
      <xdr:colOff>593725</xdr:colOff>
      <xdr:row>14</xdr:row>
      <xdr:rowOff>177800</xdr:rowOff>
    </xdr:to>
    <xdr:graphicFrame macro="">
      <xdr:nvGraphicFramePr>
        <xdr:cNvPr id="6" name="Chart 5">
          <a:extLst>
            <a:ext uri="{FF2B5EF4-FFF2-40B4-BE49-F238E27FC236}">
              <a16:creationId xmlns:a16="http://schemas.microsoft.com/office/drawing/2014/main" id="{5816AD59-8925-4B5F-9121-5221FEEC4D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15</xdr:row>
      <xdr:rowOff>0</xdr:rowOff>
    </xdr:from>
    <xdr:to>
      <xdr:col>15</xdr:col>
      <xdr:colOff>593725</xdr:colOff>
      <xdr:row>29</xdr:row>
      <xdr:rowOff>165100</xdr:rowOff>
    </xdr:to>
    <xdr:graphicFrame macro="">
      <xdr:nvGraphicFramePr>
        <xdr:cNvPr id="7" name="Chart 6">
          <a:extLst>
            <a:ext uri="{FF2B5EF4-FFF2-40B4-BE49-F238E27FC236}">
              <a16:creationId xmlns:a16="http://schemas.microsoft.com/office/drawing/2014/main" id="{1BB77CB2-6C1C-411A-89AA-DC501FF82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15875</xdr:colOff>
      <xdr:row>14</xdr:row>
      <xdr:rowOff>177800</xdr:rowOff>
    </xdr:from>
    <xdr:to>
      <xdr:col>7</xdr:col>
      <xdr:colOff>460375</xdr:colOff>
      <xdr:row>29</xdr:row>
      <xdr:rowOff>158750</xdr:rowOff>
    </xdr:to>
    <xdr:graphicFrame macro="">
      <xdr:nvGraphicFramePr>
        <xdr:cNvPr id="9" name="Chart 8">
          <a:extLst>
            <a:ext uri="{FF2B5EF4-FFF2-40B4-BE49-F238E27FC236}">
              <a16:creationId xmlns:a16="http://schemas.microsoft.com/office/drawing/2014/main" id="{67DE20ED-17D6-4573-A827-3BB4797392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15875</xdr:colOff>
      <xdr:row>29</xdr:row>
      <xdr:rowOff>171450</xdr:rowOff>
    </xdr:from>
    <xdr:to>
      <xdr:col>7</xdr:col>
      <xdr:colOff>460375</xdr:colOff>
      <xdr:row>44</xdr:row>
      <xdr:rowOff>152400</xdr:rowOff>
    </xdr:to>
    <xdr:graphicFrame macro="">
      <xdr:nvGraphicFramePr>
        <xdr:cNvPr id="10" name="Chart 9">
          <a:extLst>
            <a:ext uri="{FF2B5EF4-FFF2-40B4-BE49-F238E27FC236}">
              <a16:creationId xmlns:a16="http://schemas.microsoft.com/office/drawing/2014/main" id="{8688299A-9C5F-4875-9EFD-FDF0F4EAF7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L34" headerRowCount="0" totalsRowCount="1" headerRowDxfId="64" dataDxfId="63">
  <tableColumns count="12">
    <tableColumn id="1" xr3:uid="{00000000-0010-0000-0000-000001000000}" name="Column1" headerRowDxfId="62" dataDxfId="61" totalsRowDxfId="60"/>
    <tableColumn id="2" xr3:uid="{00000000-0010-0000-0000-000002000000}" name="Column2" headerRowDxfId="59" dataDxfId="58" totalsRowDxfId="57"/>
    <tableColumn id="3" xr3:uid="{00000000-0010-0000-0000-000003000000}" name="Column3" headerRowDxfId="56" dataDxfId="55" totalsRowDxfId="54"/>
    <tableColumn id="4" xr3:uid="{00000000-0010-0000-0000-000004000000}" name="Column4" headerRowDxfId="53" dataDxfId="52" totalsRowDxfId="51"/>
    <tableColumn id="5" xr3:uid="{00000000-0010-0000-0000-000005000000}" name="Column5" headerRowDxfId="50" dataDxfId="49" totalsRowDxfId="48"/>
    <tableColumn id="6" xr3:uid="{00000000-0010-0000-0000-000006000000}" name="Column6" headerRowDxfId="47" dataDxfId="46" totalsRowDxfId="45"/>
    <tableColumn id="7" xr3:uid="{00000000-0010-0000-0000-000007000000}" name="Column7" headerRowDxfId="44" dataDxfId="43" totalsRowDxfId="42"/>
    <tableColumn id="8" xr3:uid="{00000000-0010-0000-0000-000008000000}" name="Column8" headerRowDxfId="41" dataDxfId="40" totalsRowDxfId="39"/>
    <tableColumn id="9" xr3:uid="{00000000-0010-0000-0000-000009000000}" name="Column9" headerRowDxfId="38" dataDxfId="37" totalsRowDxfId="36"/>
    <tableColumn id="10" xr3:uid="{00000000-0010-0000-0000-00000A000000}" name="Column10" headerRowDxfId="35" dataDxfId="34" totalsRowDxfId="33"/>
    <tableColumn id="11" xr3:uid="{00000000-0010-0000-0000-00000B000000}" name="Column11" headerRowDxfId="32" dataDxfId="31" totalsRowDxfId="30"/>
    <tableColumn id="12" xr3:uid="{00000000-0010-0000-0000-00000C000000}" name="Column12" headerRowDxfId="29" dataDxfId="28" totalsRowDxfId="2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7" headerRowCount="0" totalsRowShown="0" headerRowDxfId="26" dataDxfId="25" tableBorderDxfId="24" totalsRowBorderDxfId="23">
  <tableColumns count="11">
    <tableColumn id="1" xr3:uid="{00000000-0010-0000-0100-000001000000}" name="Column1" headerRowDxfId="22" dataDxfId="21"/>
    <tableColumn id="2" xr3:uid="{00000000-0010-0000-0100-000002000000}" name="Column2" headerRowDxfId="20" dataDxfId="19"/>
    <tableColumn id="3" xr3:uid="{00000000-0010-0000-0100-000003000000}" name="Column3" headerRowDxfId="18" dataDxfId="17"/>
    <tableColumn id="4" xr3:uid="{00000000-0010-0000-0100-000004000000}" name="Column4" headerRowDxfId="16" dataDxfId="15"/>
    <tableColumn id="5" xr3:uid="{00000000-0010-0000-0100-000005000000}" name="Column5" headerRowDxfId="14" dataDxfId="13"/>
    <tableColumn id="6" xr3:uid="{00000000-0010-0000-0100-000006000000}" name="Column6" headerRowDxfId="12" dataDxfId="11"/>
    <tableColumn id="7" xr3:uid="{00000000-0010-0000-0100-000007000000}" name="Column7" headerRowDxfId="10" dataDxfId="9"/>
    <tableColumn id="8" xr3:uid="{00000000-0010-0000-0100-000008000000}" name="Column8" headerRowDxfId="8" dataDxfId="7"/>
    <tableColumn id="9" xr3:uid="{00000000-0010-0000-0100-000009000000}" name="Column9" headerRowDxfId="6" dataDxfId="5"/>
    <tableColumn id="10" xr3:uid="{00000000-0010-0000-0100-00000A000000}" name="Column10" headerRowDxfId="4" dataDxfId="3"/>
    <tableColumn id="11" xr3:uid="{00000000-0010-0000-0100-00000B000000}" name="Column11" headerRowDxfId="2" dataDxfId="1"/>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creener.in/exce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amzn.to/2xRdlRK" TargetMode="External"/><Relationship Id="rId1" Type="http://schemas.openxmlformats.org/officeDocument/2006/relationships/hyperlink" Target="https://www.safalniveshak.com/dhandho-investor-guide-to-intrinsic-valu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hyperlink" Target="http://www.safalniveshak.com/value-stocks-using-dcf/" TargetMode="External"/><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goo.gl/F4PjL7"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2.bin"/><Relationship Id="rId1" Type="http://schemas.openxmlformats.org/officeDocument/2006/relationships/hyperlink" Target="http://www.screener.in/"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falniveshak.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CE27-A826-449A-B4CA-7EBB069471AF}">
  <dimension ref="A1:B23"/>
  <sheetViews>
    <sheetView workbookViewId="0">
      <selection activeCell="A2" sqref="A2"/>
    </sheetView>
  </sheetViews>
  <sheetFormatPr defaultRowHeight="12.5" x14ac:dyDescent="0.25"/>
  <cols>
    <col min="1" max="1" width="151.453125" style="268" customWidth="1"/>
    <col min="2" max="16384" width="8.7265625" style="268"/>
  </cols>
  <sheetData>
    <row r="1" spans="1:2" ht="19" x14ac:dyDescent="0.4">
      <c r="A1" s="312" t="s">
        <v>334</v>
      </c>
    </row>
    <row r="2" spans="1:2" ht="16" thickBot="1" x14ac:dyDescent="0.4">
      <c r="A2" s="269" t="s">
        <v>212</v>
      </c>
    </row>
    <row r="3" spans="1:2" s="272" customFormat="1" ht="16" thickBot="1" x14ac:dyDescent="0.4">
      <c r="A3" s="270"/>
      <c r="B3" s="271"/>
    </row>
    <row r="4" spans="1:2" ht="15.5" x14ac:dyDescent="0.35">
      <c r="A4" s="273" t="s">
        <v>249</v>
      </c>
    </row>
    <row r="5" spans="1:2" ht="14.5" x14ac:dyDescent="0.35">
      <c r="A5" s="274" t="s">
        <v>274</v>
      </c>
    </row>
    <row r="6" spans="1:2" ht="14.5" x14ac:dyDescent="0.35">
      <c r="A6" s="277" t="s">
        <v>275</v>
      </c>
    </row>
    <row r="7" spans="1:2" ht="25.5" x14ac:dyDescent="0.25">
      <c r="A7" s="274" t="s">
        <v>276</v>
      </c>
    </row>
    <row r="8" spans="1:2" ht="25.5" x14ac:dyDescent="0.25">
      <c r="A8" s="274" t="s">
        <v>277</v>
      </c>
    </row>
    <row r="9" spans="1:2" ht="13.5" thickBot="1" x14ac:dyDescent="0.35">
      <c r="A9" s="275" t="s">
        <v>278</v>
      </c>
    </row>
    <row r="11" spans="1:2" ht="13" thickBot="1" x14ac:dyDescent="0.3"/>
    <row r="12" spans="1:2" ht="15.5" x14ac:dyDescent="0.35">
      <c r="A12" s="273" t="s">
        <v>250</v>
      </c>
    </row>
    <row r="13" spans="1:2" ht="25" x14ac:dyDescent="0.25">
      <c r="A13" s="274" t="s">
        <v>257</v>
      </c>
    </row>
    <row r="14" spans="1:2" ht="25" x14ac:dyDescent="0.25">
      <c r="A14" s="274" t="s">
        <v>251</v>
      </c>
    </row>
    <row r="15" spans="1:2" ht="25" x14ac:dyDescent="0.25">
      <c r="A15" s="274" t="s">
        <v>265</v>
      </c>
    </row>
    <row r="16" spans="1:2" ht="25" x14ac:dyDescent="0.25">
      <c r="A16" s="274" t="s">
        <v>264</v>
      </c>
    </row>
    <row r="17" spans="1:1" x14ac:dyDescent="0.25">
      <c r="A17" s="274" t="s">
        <v>254</v>
      </c>
    </row>
    <row r="18" spans="1:1" ht="25" x14ac:dyDescent="0.25">
      <c r="A18" s="274" t="s">
        <v>258</v>
      </c>
    </row>
    <row r="19" spans="1:1" x14ac:dyDescent="0.25">
      <c r="A19" s="274" t="s">
        <v>255</v>
      </c>
    </row>
    <row r="20" spans="1:1" ht="25" x14ac:dyDescent="0.25">
      <c r="A20" s="274" t="s">
        <v>256</v>
      </c>
    </row>
    <row r="21" spans="1:1" ht="13" thickBot="1" x14ac:dyDescent="0.3">
      <c r="A21" s="275" t="s">
        <v>273</v>
      </c>
    </row>
    <row r="23" spans="1:1" ht="13" x14ac:dyDescent="0.3">
      <c r="A23" s="276" t="s">
        <v>279</v>
      </c>
    </row>
  </sheetData>
  <hyperlinks>
    <hyperlink ref="A2" r:id="rId1" xr:uid="{6C75252E-EC86-4CE2-A753-DBF34F09E16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3"/>
  <sheetViews>
    <sheetView workbookViewId="0">
      <pane xSplit="1" ySplit="1" topLeftCell="B12" activePane="bottomRight" state="frozen"/>
      <selection activeCell="C4" sqref="C4"/>
      <selection pane="topRight" activeCell="C4" sqref="C4"/>
      <selection pane="bottomLeft" activeCell="C4" sqref="C4"/>
      <selection pane="bottomRight" activeCell="B16" sqref="B16:K16"/>
    </sheetView>
  </sheetViews>
  <sheetFormatPr defaultColWidth="9.1796875" defaultRowHeight="12.5" x14ac:dyDescent="0.25"/>
  <cols>
    <col min="1" max="1" width="25.1796875" style="14" bestFit="1" customWidth="1"/>
    <col min="2" max="2" width="13.90625" style="14" bestFit="1" customWidth="1"/>
    <col min="3" max="8" width="9.81640625" style="14" bestFit="1" customWidth="1"/>
    <col min="9" max="11" width="10.81640625" style="14" bestFit="1" customWidth="1"/>
    <col min="12" max="16384" width="9.1796875" style="14"/>
  </cols>
  <sheetData>
    <row r="1" spans="1:11" s="11" customFormat="1" ht="13" x14ac:dyDescent="0.3">
      <c r="A1" s="11" t="s">
        <v>0</v>
      </c>
      <c r="B1" s="11" t="s">
        <v>58</v>
      </c>
      <c r="E1" s="416" t="str">
        <f>IF(B2&lt;&gt;B3, "A NEW VERSION OF THE WORKSHEET IS AVAILABLE", "")</f>
        <v/>
      </c>
      <c r="F1" s="416"/>
      <c r="G1" s="416"/>
      <c r="H1" s="416"/>
      <c r="I1" s="416"/>
      <c r="J1" s="416"/>
      <c r="K1" s="416"/>
    </row>
    <row r="2" spans="1:11" ht="13" x14ac:dyDescent="0.3">
      <c r="A2" s="11" t="s">
        <v>56</v>
      </c>
      <c r="B2" s="14">
        <v>2.1</v>
      </c>
      <c r="E2" s="417" t="s">
        <v>31</v>
      </c>
      <c r="F2" s="417"/>
      <c r="G2" s="417"/>
      <c r="H2" s="417"/>
      <c r="I2" s="417"/>
      <c r="J2" s="417"/>
      <c r="K2" s="417"/>
    </row>
    <row r="3" spans="1:11" ht="13" x14ac:dyDescent="0.3">
      <c r="A3" s="11" t="s">
        <v>57</v>
      </c>
      <c r="B3" s="14">
        <v>2.1</v>
      </c>
    </row>
    <row r="4" spans="1:11" ht="13" x14ac:dyDescent="0.3">
      <c r="A4" s="11"/>
    </row>
    <row r="5" spans="1:11" ht="13" x14ac:dyDescent="0.3">
      <c r="A5" s="11" t="s">
        <v>59</v>
      </c>
    </row>
    <row r="6" spans="1:11" x14ac:dyDescent="0.25">
      <c r="A6" s="14" t="s">
        <v>37</v>
      </c>
      <c r="B6" s="14">
        <f>IF(B9&gt;0, B9/B8, 0)</f>
        <v>19.972688561141876</v>
      </c>
    </row>
    <row r="7" spans="1:11" x14ac:dyDescent="0.25">
      <c r="A7" s="14" t="s">
        <v>26</v>
      </c>
      <c r="B7" s="8">
        <v>2</v>
      </c>
    </row>
    <row r="8" spans="1:11" x14ac:dyDescent="0.25">
      <c r="A8" s="14" t="s">
        <v>38</v>
      </c>
      <c r="B8" s="8">
        <v>2735.85</v>
      </c>
    </row>
    <row r="9" spans="1:11" x14ac:dyDescent="0.25">
      <c r="A9" s="14" t="s">
        <v>73</v>
      </c>
      <c r="B9" s="8">
        <v>54642.28</v>
      </c>
    </row>
    <row r="15" spans="1:11" ht="13" x14ac:dyDescent="0.3">
      <c r="A15" s="11" t="s">
        <v>32</v>
      </c>
    </row>
    <row r="16" spans="1:11" s="28" customFormat="1" ht="13" x14ac:dyDescent="0.3">
      <c r="A16" s="27" t="s">
        <v>33</v>
      </c>
      <c r="B16" s="9">
        <v>39903</v>
      </c>
      <c r="C16" s="9">
        <v>40268</v>
      </c>
      <c r="D16" s="9">
        <v>40633</v>
      </c>
      <c r="E16" s="9">
        <v>40999</v>
      </c>
      <c r="F16" s="9">
        <v>41364</v>
      </c>
      <c r="G16" s="9">
        <v>41729</v>
      </c>
      <c r="H16" s="9">
        <v>42094</v>
      </c>
      <c r="I16" s="9">
        <v>42460</v>
      </c>
      <c r="J16" s="9">
        <v>42825</v>
      </c>
      <c r="K16" s="9">
        <v>43190</v>
      </c>
    </row>
    <row r="17" spans="1:11" x14ac:dyDescent="0.25">
      <c r="A17" s="14" t="s">
        <v>4</v>
      </c>
      <c r="B17" s="8">
        <v>12319.12</v>
      </c>
      <c r="C17" s="8">
        <v>15758.18</v>
      </c>
      <c r="D17" s="8">
        <v>19397.93</v>
      </c>
      <c r="E17" s="8">
        <v>23579.03</v>
      </c>
      <c r="F17" s="8">
        <v>23768.11</v>
      </c>
      <c r="G17" s="8">
        <v>25275.47</v>
      </c>
      <c r="H17" s="8">
        <v>27585.3</v>
      </c>
      <c r="I17" s="8">
        <v>28442.7</v>
      </c>
      <c r="J17" s="8">
        <v>28500.46</v>
      </c>
      <c r="K17" s="8">
        <v>32230.49</v>
      </c>
    </row>
    <row r="18" spans="1:11" ht="14.5" x14ac:dyDescent="0.35">
      <c r="A18" s="14" t="s">
        <v>74</v>
      </c>
      <c r="B18">
        <v>8760.2199999999993</v>
      </c>
      <c r="C18">
        <v>10730.41</v>
      </c>
      <c r="D18">
        <v>14135.17</v>
      </c>
      <c r="E18">
        <v>17365.41</v>
      </c>
      <c r="F18">
        <v>17364.86</v>
      </c>
      <c r="G18">
        <v>18221.53</v>
      </c>
      <c r="H18">
        <v>19783.88</v>
      </c>
      <c r="I18">
        <v>19321.72</v>
      </c>
      <c r="J18">
        <v>18974.11</v>
      </c>
      <c r="K18">
        <v>21857.79</v>
      </c>
    </row>
    <row r="19" spans="1:11" ht="14.5" x14ac:dyDescent="0.35">
      <c r="A19" s="14" t="s">
        <v>75</v>
      </c>
      <c r="B19">
        <v>18.21</v>
      </c>
      <c r="C19">
        <v>-5.95</v>
      </c>
      <c r="D19">
        <v>24.06</v>
      </c>
      <c r="E19">
        <v>83.84</v>
      </c>
      <c r="F19">
        <v>-32.799999999999997</v>
      </c>
      <c r="G19">
        <v>-8.36</v>
      </c>
      <c r="H19">
        <v>29.97</v>
      </c>
      <c r="I19">
        <v>11.88</v>
      </c>
      <c r="J19">
        <v>-63.17</v>
      </c>
      <c r="K19">
        <v>23.15</v>
      </c>
    </row>
    <row r="20" spans="1:11" x14ac:dyDescent="0.25">
      <c r="A20" s="14" t="s">
        <v>76</v>
      </c>
      <c r="B20" s="8">
        <v>73.7</v>
      </c>
      <c r="C20" s="8">
        <v>81.05</v>
      </c>
      <c r="D20" s="8">
        <v>100.47</v>
      </c>
      <c r="E20" s="8">
        <v>112.66</v>
      </c>
      <c r="F20" s="8">
        <v>129.18</v>
      </c>
      <c r="G20" s="8">
        <v>137.46</v>
      </c>
      <c r="H20" s="8">
        <v>158.47</v>
      </c>
      <c r="I20" s="8">
        <v>122.13</v>
      </c>
      <c r="J20" s="8">
        <v>112.62</v>
      </c>
      <c r="K20" s="8">
        <v>138.77000000000001</v>
      </c>
    </row>
    <row r="21" spans="1:11" x14ac:dyDescent="0.25">
      <c r="A21" s="14" t="s">
        <v>77</v>
      </c>
      <c r="B21" s="8">
        <v>113.33</v>
      </c>
      <c r="C21" s="8">
        <v>143.49</v>
      </c>
      <c r="D21" s="8">
        <v>164.83</v>
      </c>
      <c r="E21" s="8">
        <v>187.56</v>
      </c>
      <c r="F21" s="8">
        <v>213.96</v>
      </c>
      <c r="G21" s="8">
        <v>232.61</v>
      </c>
      <c r="H21" s="8">
        <v>245.4</v>
      </c>
      <c r="I21" s="8">
        <v>209.85</v>
      </c>
      <c r="J21" s="8">
        <v>204.61</v>
      </c>
      <c r="K21" s="8">
        <v>240.32</v>
      </c>
    </row>
    <row r="22" spans="1:11" x14ac:dyDescent="0.25">
      <c r="A22" s="14" t="s">
        <v>78</v>
      </c>
      <c r="B22" s="8">
        <v>370.71</v>
      </c>
      <c r="C22" s="8">
        <v>437.83</v>
      </c>
      <c r="D22" s="8">
        <v>618.95000000000005</v>
      </c>
      <c r="E22" s="8">
        <v>735.52</v>
      </c>
      <c r="F22" s="8">
        <v>820.92</v>
      </c>
      <c r="G22" s="8">
        <v>930.04</v>
      </c>
      <c r="H22" s="8">
        <v>1172.8699999999999</v>
      </c>
      <c r="I22" s="8">
        <v>1315.93</v>
      </c>
      <c r="J22" s="8">
        <v>1396.01</v>
      </c>
      <c r="K22" s="8">
        <v>1540.13</v>
      </c>
    </row>
    <row r="23" spans="1:11" x14ac:dyDescent="0.25">
      <c r="A23" s="14" t="s">
        <v>79</v>
      </c>
      <c r="B23" s="8">
        <v>1047.27</v>
      </c>
      <c r="C23" s="8">
        <v>1401.46</v>
      </c>
      <c r="D23" s="8">
        <v>1396.59</v>
      </c>
      <c r="E23" s="8">
        <v>1155.3699999999999</v>
      </c>
      <c r="F23" s="8">
        <v>1392.12</v>
      </c>
      <c r="G23" s="8">
        <v>1591.85</v>
      </c>
      <c r="H23" s="8">
        <v>1930.63</v>
      </c>
      <c r="I23" s="8">
        <v>2006.56</v>
      </c>
      <c r="J23" s="8">
        <v>2077.3000000000002</v>
      </c>
      <c r="K23" s="8">
        <v>2159.1</v>
      </c>
    </row>
    <row r="24" spans="1:11" x14ac:dyDescent="0.25">
      <c r="A24" s="14" t="s">
        <v>80</v>
      </c>
      <c r="B24" s="8">
        <v>287.75</v>
      </c>
      <c r="C24" s="8">
        <v>296.02</v>
      </c>
      <c r="D24" s="8">
        <v>473.29</v>
      </c>
      <c r="E24" s="8">
        <v>487.57</v>
      </c>
      <c r="F24" s="8">
        <v>529.79</v>
      </c>
      <c r="G24" s="8">
        <v>613.55999999999995</v>
      </c>
      <c r="H24" s="8">
        <v>936.88</v>
      </c>
      <c r="I24" s="8">
        <v>1023.42</v>
      </c>
      <c r="J24" s="8">
        <v>1037.83</v>
      </c>
      <c r="K24" s="8">
        <v>1037.3399999999999</v>
      </c>
    </row>
    <row r="25" spans="1:11" x14ac:dyDescent="0.25">
      <c r="A25" s="14" t="s">
        <v>7</v>
      </c>
      <c r="B25" s="8">
        <v>280.3</v>
      </c>
      <c r="C25" s="8">
        <v>363.33</v>
      </c>
      <c r="D25" s="8">
        <v>289.62</v>
      </c>
      <c r="E25" s="8">
        <v>364.57</v>
      </c>
      <c r="F25" s="8">
        <v>398.38</v>
      </c>
      <c r="G25" s="8">
        <v>446.38</v>
      </c>
      <c r="H25" s="8">
        <v>492.74</v>
      </c>
      <c r="I25" s="8">
        <v>422.43</v>
      </c>
      <c r="J25" s="8">
        <v>522.42999999999995</v>
      </c>
      <c r="K25" s="8">
        <v>525.82000000000005</v>
      </c>
    </row>
    <row r="26" spans="1:11" x14ac:dyDescent="0.25">
      <c r="A26" s="14" t="s">
        <v>8</v>
      </c>
      <c r="B26" s="8">
        <v>180.66</v>
      </c>
      <c r="C26" s="8">
        <v>191.47</v>
      </c>
      <c r="D26" s="8">
        <v>402.38</v>
      </c>
      <c r="E26" s="8">
        <v>1097.3399999999999</v>
      </c>
      <c r="F26" s="8">
        <v>1141.75</v>
      </c>
      <c r="G26" s="8">
        <v>1107.3699999999999</v>
      </c>
      <c r="H26" s="8">
        <v>539.97</v>
      </c>
      <c r="I26" s="8">
        <v>437.64</v>
      </c>
      <c r="J26" s="8">
        <v>492.73</v>
      </c>
      <c r="K26" s="8">
        <v>555.6</v>
      </c>
    </row>
    <row r="27" spans="1:11" ht="14.5" x14ac:dyDescent="0.35">
      <c r="A27" s="14" t="s">
        <v>9</v>
      </c>
      <c r="B27" s="8">
        <v>2.5299999999999998</v>
      </c>
      <c r="C27" s="8">
        <v>2.1</v>
      </c>
      <c r="D27" s="8">
        <v>15.17</v>
      </c>
      <c r="E27" s="8">
        <v>21.3</v>
      </c>
      <c r="F27" s="8">
        <v>11.91</v>
      </c>
      <c r="G27" s="8">
        <v>11.82</v>
      </c>
      <c r="H27" s="8">
        <v>11.09</v>
      </c>
      <c r="I27" s="8">
        <v>4.8899999999999997</v>
      </c>
      <c r="J27">
        <v>6.05</v>
      </c>
      <c r="K27">
        <v>6.25</v>
      </c>
    </row>
    <row r="28" spans="1:11" x14ac:dyDescent="0.25">
      <c r="A28" s="14" t="s">
        <v>10</v>
      </c>
      <c r="B28" s="8">
        <v>1781.46</v>
      </c>
      <c r="C28" s="8">
        <v>2831.73</v>
      </c>
      <c r="D28" s="8">
        <v>2404.7600000000002</v>
      </c>
      <c r="E28" s="8">
        <v>2864.71</v>
      </c>
      <c r="F28" s="8">
        <v>2529.1999999999998</v>
      </c>
      <c r="G28" s="8">
        <v>2867.25</v>
      </c>
      <c r="H28" s="8">
        <v>3328.82</v>
      </c>
      <c r="I28" s="8">
        <v>4434.87</v>
      </c>
      <c r="J28" s="8">
        <v>4658.46</v>
      </c>
      <c r="K28" s="8">
        <v>5244.16</v>
      </c>
    </row>
    <row r="29" spans="1:11" x14ac:dyDescent="0.25">
      <c r="A29" s="14" t="s">
        <v>11</v>
      </c>
      <c r="B29" s="8">
        <v>499.7</v>
      </c>
      <c r="C29" s="8">
        <v>599.9</v>
      </c>
      <c r="D29" s="8">
        <v>476.86</v>
      </c>
      <c r="E29" s="8">
        <v>486.58</v>
      </c>
      <c r="F29" s="8">
        <v>411.04</v>
      </c>
      <c r="G29" s="8">
        <v>758.17</v>
      </c>
      <c r="H29" s="8">
        <v>943.18</v>
      </c>
      <c r="I29" s="8">
        <v>1274.68</v>
      </c>
      <c r="J29" s="8">
        <v>1281.3399999999999</v>
      </c>
      <c r="K29" s="8">
        <v>1546.8</v>
      </c>
    </row>
    <row r="30" spans="1:11" x14ac:dyDescent="0.25">
      <c r="A30" s="14" t="s">
        <v>12</v>
      </c>
      <c r="B30" s="8">
        <v>1281.76</v>
      </c>
      <c r="C30" s="8">
        <v>2231.83</v>
      </c>
      <c r="D30" s="8">
        <v>1927.9</v>
      </c>
      <c r="E30" s="8">
        <v>2378.13</v>
      </c>
      <c r="F30" s="8">
        <v>2118.16</v>
      </c>
      <c r="G30" s="8">
        <v>2109.08</v>
      </c>
      <c r="H30" s="8">
        <v>2385.64</v>
      </c>
      <c r="I30" s="8">
        <v>3160.19</v>
      </c>
      <c r="J30" s="8">
        <v>3377.12</v>
      </c>
      <c r="K30" s="8">
        <v>3697.36</v>
      </c>
    </row>
    <row r="31" spans="1:11" x14ac:dyDescent="0.25">
      <c r="A31" s="14" t="s">
        <v>64</v>
      </c>
      <c r="B31" s="8">
        <v>399.4</v>
      </c>
      <c r="C31" s="8">
        <v>2196.6999999999998</v>
      </c>
      <c r="D31" s="8">
        <v>2096.85</v>
      </c>
      <c r="E31" s="8">
        <v>898.65</v>
      </c>
      <c r="F31" s="8">
        <v>1198.2</v>
      </c>
      <c r="G31" s="8">
        <v>1298.05</v>
      </c>
      <c r="H31" s="8">
        <v>1198.2</v>
      </c>
      <c r="I31" s="8">
        <v>1437.84</v>
      </c>
      <c r="J31" s="8">
        <v>1697.45</v>
      </c>
      <c r="K31" s="8">
        <v>1897.15</v>
      </c>
    </row>
    <row r="40" spans="1:11" ht="13" x14ac:dyDescent="0.3">
      <c r="A40" s="11" t="s">
        <v>34</v>
      </c>
    </row>
    <row r="41" spans="1:11" s="28" customFormat="1" ht="13" x14ac:dyDescent="0.3">
      <c r="A41" s="27" t="s">
        <v>33</v>
      </c>
      <c r="B41" s="9">
        <v>42643</v>
      </c>
      <c r="C41" s="9">
        <v>42735</v>
      </c>
      <c r="D41" s="9">
        <v>42825</v>
      </c>
      <c r="E41" s="9">
        <v>42916</v>
      </c>
      <c r="F41" s="9">
        <v>43008</v>
      </c>
      <c r="G41" s="9">
        <v>43100</v>
      </c>
      <c r="H41" s="9">
        <v>43190</v>
      </c>
      <c r="I41" s="9">
        <v>43281</v>
      </c>
      <c r="J41" s="9">
        <v>43373</v>
      </c>
      <c r="K41" s="9">
        <v>43465</v>
      </c>
    </row>
    <row r="42" spans="1:11" x14ac:dyDescent="0.25">
      <c r="A42" s="14" t="s">
        <v>4</v>
      </c>
      <c r="B42" s="8">
        <v>7796.28</v>
      </c>
      <c r="C42" s="8">
        <v>6364.6</v>
      </c>
      <c r="D42" s="8">
        <v>6922.8</v>
      </c>
      <c r="E42" s="8">
        <v>7980.5</v>
      </c>
      <c r="F42" s="8">
        <v>8371.74</v>
      </c>
      <c r="G42" s="8">
        <v>7314.21</v>
      </c>
      <c r="H42" s="8">
        <v>8564.0400000000009</v>
      </c>
      <c r="I42" s="8">
        <v>8809.82</v>
      </c>
      <c r="J42" s="8">
        <v>9090.94</v>
      </c>
      <c r="K42" s="8">
        <v>7864.82</v>
      </c>
    </row>
    <row r="43" spans="1:11" x14ac:dyDescent="0.25">
      <c r="A43" s="14" t="s">
        <v>5</v>
      </c>
      <c r="B43" s="8">
        <v>6427.41</v>
      </c>
      <c r="C43" s="8">
        <v>5284.86</v>
      </c>
      <c r="D43" s="8">
        <v>5965.24</v>
      </c>
      <c r="E43" s="8">
        <v>6684.59</v>
      </c>
      <c r="F43" s="8">
        <v>6916.04</v>
      </c>
      <c r="G43" s="8">
        <v>6156.22</v>
      </c>
      <c r="H43" s="8">
        <v>7193.45</v>
      </c>
      <c r="I43" s="8">
        <v>7432.53</v>
      </c>
      <c r="J43" s="8">
        <v>7712.23</v>
      </c>
      <c r="K43" s="8">
        <v>6760.05</v>
      </c>
    </row>
    <row r="44" spans="1:11" x14ac:dyDescent="0.25">
      <c r="A44" s="14" t="s">
        <v>7</v>
      </c>
      <c r="B44" s="8">
        <v>152.36000000000001</v>
      </c>
      <c r="C44" s="8">
        <v>131.93</v>
      </c>
      <c r="D44" s="8">
        <v>118.23</v>
      </c>
      <c r="E44" s="8">
        <v>131.69999999999999</v>
      </c>
      <c r="F44" s="8">
        <v>117.6</v>
      </c>
      <c r="G44" s="8">
        <v>110.02</v>
      </c>
      <c r="H44" s="8">
        <v>166.5</v>
      </c>
      <c r="I44" s="8">
        <v>115.73</v>
      </c>
      <c r="J44" s="8">
        <v>223.66</v>
      </c>
      <c r="K44" s="8">
        <v>187.64</v>
      </c>
    </row>
    <row r="45" spans="1:11" x14ac:dyDescent="0.25">
      <c r="A45" s="14" t="s">
        <v>8</v>
      </c>
      <c r="B45" s="8">
        <v>119.25</v>
      </c>
      <c r="C45" s="8">
        <v>124.85</v>
      </c>
      <c r="D45" s="8">
        <v>135.30000000000001</v>
      </c>
      <c r="E45" s="8">
        <v>132.94999999999999</v>
      </c>
      <c r="F45" s="8">
        <v>136.03</v>
      </c>
      <c r="G45" s="8">
        <v>138.28</v>
      </c>
      <c r="H45" s="8">
        <v>148.34</v>
      </c>
      <c r="I45" s="8">
        <v>148.16999999999999</v>
      </c>
      <c r="J45" s="8">
        <v>151.78</v>
      </c>
      <c r="K45" s="8">
        <v>151.83000000000001</v>
      </c>
    </row>
    <row r="46" spans="1:11" ht="14.5" x14ac:dyDescent="0.35">
      <c r="A46" s="14" t="s">
        <v>9</v>
      </c>
      <c r="B46">
        <v>1.55</v>
      </c>
      <c r="C46">
        <v>1.52</v>
      </c>
      <c r="D46">
        <v>1.48</v>
      </c>
      <c r="E46">
        <v>1.58</v>
      </c>
      <c r="F46">
        <v>1.56</v>
      </c>
      <c r="G46">
        <v>1.57</v>
      </c>
      <c r="H46">
        <v>1.54</v>
      </c>
      <c r="I46">
        <v>2.11</v>
      </c>
      <c r="J46">
        <v>2.14</v>
      </c>
      <c r="K46">
        <v>2.16</v>
      </c>
    </row>
    <row r="47" spans="1:11" x14ac:dyDescent="0.25">
      <c r="A47" s="14" t="s">
        <v>10</v>
      </c>
      <c r="B47" s="8">
        <v>1400.43</v>
      </c>
      <c r="C47" s="8">
        <v>1085.3</v>
      </c>
      <c r="D47" s="8">
        <v>939.01</v>
      </c>
      <c r="E47" s="8">
        <v>1293.08</v>
      </c>
      <c r="F47" s="8">
        <v>1435.71</v>
      </c>
      <c r="G47" s="8">
        <v>1128.1600000000001</v>
      </c>
      <c r="H47" s="8">
        <v>1387.21</v>
      </c>
      <c r="I47" s="8">
        <v>1342.74</v>
      </c>
      <c r="J47" s="8">
        <v>1448.45</v>
      </c>
      <c r="K47" s="8">
        <v>1138.42</v>
      </c>
    </row>
    <row r="48" spans="1:11" x14ac:dyDescent="0.25">
      <c r="A48" s="14" t="s">
        <v>11</v>
      </c>
      <c r="B48" s="8">
        <v>396.21</v>
      </c>
      <c r="C48" s="8">
        <v>313.25</v>
      </c>
      <c r="D48" s="8">
        <v>221.26</v>
      </c>
      <c r="E48" s="8">
        <v>379.04</v>
      </c>
      <c r="F48" s="8">
        <v>425.22</v>
      </c>
      <c r="G48" s="8">
        <v>322.73</v>
      </c>
      <c r="H48" s="8">
        <v>419.81</v>
      </c>
      <c r="I48" s="8">
        <v>433.57</v>
      </c>
      <c r="J48" s="8">
        <v>472.17</v>
      </c>
      <c r="K48" s="8">
        <v>369.32</v>
      </c>
    </row>
    <row r="49" spans="1:11" x14ac:dyDescent="0.25">
      <c r="A49" s="14" t="s">
        <v>12</v>
      </c>
      <c r="B49" s="8">
        <v>1004.22</v>
      </c>
      <c r="C49" s="8">
        <v>772.05</v>
      </c>
      <c r="D49" s="8">
        <v>717.75</v>
      </c>
      <c r="E49" s="8">
        <v>914.04</v>
      </c>
      <c r="F49" s="8">
        <v>1010.49</v>
      </c>
      <c r="G49" s="8">
        <v>805.43</v>
      </c>
      <c r="H49" s="8">
        <v>967.4</v>
      </c>
      <c r="I49" s="8">
        <v>909.17</v>
      </c>
      <c r="J49" s="8">
        <v>976.28</v>
      </c>
      <c r="K49" s="8">
        <v>769.1</v>
      </c>
    </row>
    <row r="50" spans="1:11" x14ac:dyDescent="0.25">
      <c r="A50" s="14" t="s">
        <v>6</v>
      </c>
      <c r="B50" s="8">
        <v>1368.87</v>
      </c>
      <c r="C50" s="8">
        <v>1079.74</v>
      </c>
      <c r="D50" s="8">
        <v>957.56</v>
      </c>
      <c r="E50" s="8">
        <v>1295.9100000000001</v>
      </c>
      <c r="F50" s="8">
        <v>1455.7</v>
      </c>
      <c r="G50" s="8">
        <v>1157.99</v>
      </c>
      <c r="H50" s="8">
        <v>1370.59</v>
      </c>
      <c r="I50" s="8">
        <v>1377.29</v>
      </c>
      <c r="J50" s="8">
        <v>1378.71</v>
      </c>
      <c r="K50" s="8">
        <v>1104.77</v>
      </c>
    </row>
    <row r="55" spans="1:11" ht="13" x14ac:dyDescent="0.3">
      <c r="A55" s="11" t="s">
        <v>35</v>
      </c>
    </row>
    <row r="56" spans="1:11" s="28" customFormat="1" ht="13" x14ac:dyDescent="0.3">
      <c r="A56" s="27" t="s">
        <v>33</v>
      </c>
      <c r="B56" s="9">
        <v>39903</v>
      </c>
      <c r="C56" s="9">
        <v>40268</v>
      </c>
      <c r="D56" s="9">
        <v>40633</v>
      </c>
      <c r="E56" s="9">
        <v>40999</v>
      </c>
      <c r="F56" s="9">
        <v>41364</v>
      </c>
      <c r="G56" s="9">
        <v>41729</v>
      </c>
      <c r="H56" s="9">
        <v>42094</v>
      </c>
      <c r="I56" s="9">
        <v>42460</v>
      </c>
      <c r="J56" s="9">
        <v>42825</v>
      </c>
      <c r="K56" s="9">
        <v>43190</v>
      </c>
    </row>
    <row r="57" spans="1:11" x14ac:dyDescent="0.25">
      <c r="A57" s="14" t="s">
        <v>19</v>
      </c>
      <c r="B57" s="8">
        <v>39.94</v>
      </c>
      <c r="C57" s="8">
        <v>39.94</v>
      </c>
      <c r="D57" s="8">
        <v>39.94</v>
      </c>
      <c r="E57" s="8">
        <v>39.94</v>
      </c>
      <c r="F57" s="8">
        <v>39.94</v>
      </c>
      <c r="G57" s="8">
        <v>39.94</v>
      </c>
      <c r="H57" s="8">
        <v>39.94</v>
      </c>
      <c r="I57" s="8">
        <v>39.94</v>
      </c>
      <c r="J57" s="8">
        <v>39.94</v>
      </c>
      <c r="K57" s="8">
        <v>39.94</v>
      </c>
    </row>
    <row r="58" spans="1:11" x14ac:dyDescent="0.25">
      <c r="A58" s="14" t="s">
        <v>20</v>
      </c>
      <c r="B58" s="8">
        <v>3760.81</v>
      </c>
      <c r="C58" s="8">
        <v>3425.08</v>
      </c>
      <c r="D58" s="8">
        <v>2916.12</v>
      </c>
      <c r="E58" s="8">
        <v>4249.8900000000003</v>
      </c>
      <c r="F58" s="8">
        <v>4966.3</v>
      </c>
      <c r="G58" s="8">
        <v>5559.93</v>
      </c>
      <c r="H58" s="8">
        <v>6501.39</v>
      </c>
      <c r="I58" s="8">
        <v>8794.4699999999993</v>
      </c>
      <c r="J58" s="8">
        <v>10071.35</v>
      </c>
      <c r="K58" s="8">
        <v>11728.94</v>
      </c>
    </row>
    <row r="59" spans="1:11" ht="14.5" x14ac:dyDescent="0.35">
      <c r="A59" s="14" t="s">
        <v>65</v>
      </c>
      <c r="B59">
        <v>78.489999999999995</v>
      </c>
      <c r="C59">
        <v>66.03</v>
      </c>
      <c r="D59">
        <v>693.35</v>
      </c>
      <c r="E59">
        <v>719.44</v>
      </c>
      <c r="F59">
        <v>641.58000000000004</v>
      </c>
      <c r="G59">
        <v>284.26</v>
      </c>
      <c r="H59"/>
    </row>
    <row r="60" spans="1:11" x14ac:dyDescent="0.25">
      <c r="A60" s="14" t="s">
        <v>66</v>
      </c>
      <c r="B60" s="8">
        <v>2205.9</v>
      </c>
      <c r="C60" s="8">
        <v>4992.04</v>
      </c>
      <c r="D60" s="8">
        <v>7082.8</v>
      </c>
      <c r="E60" s="8">
        <v>4886.1400000000003</v>
      </c>
      <c r="F60" s="8">
        <v>4001.16</v>
      </c>
      <c r="G60" s="8">
        <v>4217.97</v>
      </c>
      <c r="H60" s="8">
        <v>3986.68</v>
      </c>
      <c r="I60" s="8">
        <v>3796.17</v>
      </c>
      <c r="J60" s="8">
        <v>4645.42</v>
      </c>
      <c r="K60" s="8">
        <v>5035.9399999999996</v>
      </c>
    </row>
    <row r="61" spans="1:11" s="11" customFormat="1" ht="13" x14ac:dyDescent="0.3">
      <c r="A61" s="11" t="s">
        <v>21</v>
      </c>
      <c r="B61" s="8">
        <v>6085.14</v>
      </c>
      <c r="C61" s="8">
        <v>8523.09</v>
      </c>
      <c r="D61" s="8">
        <v>10732.21</v>
      </c>
      <c r="E61" s="8">
        <v>9895.41</v>
      </c>
      <c r="F61" s="8">
        <v>9648.98</v>
      </c>
      <c r="G61" s="8">
        <v>10102.1</v>
      </c>
      <c r="H61" s="8">
        <v>10528.01</v>
      </c>
      <c r="I61" s="8">
        <v>12630.58</v>
      </c>
      <c r="J61" s="8">
        <v>14756.71</v>
      </c>
      <c r="K61" s="8">
        <v>16804.82</v>
      </c>
    </row>
    <row r="62" spans="1:11" x14ac:dyDescent="0.25">
      <c r="A62" s="14" t="s">
        <v>22</v>
      </c>
      <c r="B62" s="8">
        <v>1573.71</v>
      </c>
      <c r="C62" s="8">
        <v>1658.78</v>
      </c>
      <c r="D62" s="8">
        <v>4080.28</v>
      </c>
      <c r="E62" s="8">
        <v>3785.51</v>
      </c>
      <c r="F62" s="8">
        <v>3070.98</v>
      </c>
      <c r="G62" s="8">
        <v>2243.25</v>
      </c>
      <c r="H62" s="8">
        <v>2912.69</v>
      </c>
      <c r="I62" s="8">
        <v>3584.35</v>
      </c>
      <c r="J62" s="8">
        <v>4395.59</v>
      </c>
      <c r="K62" s="8">
        <v>4654.54</v>
      </c>
    </row>
    <row r="63" spans="1:11" x14ac:dyDescent="0.25">
      <c r="A63" s="14" t="s">
        <v>23</v>
      </c>
      <c r="B63" s="8">
        <v>120.54</v>
      </c>
      <c r="C63" s="8">
        <v>48.14</v>
      </c>
      <c r="D63" s="8">
        <v>49.96</v>
      </c>
      <c r="E63" s="8">
        <v>38.840000000000003</v>
      </c>
      <c r="F63" s="8">
        <v>62.09</v>
      </c>
      <c r="G63" s="8">
        <v>854.11</v>
      </c>
      <c r="H63" s="8">
        <v>712.55</v>
      </c>
      <c r="I63" s="8">
        <v>605.4</v>
      </c>
      <c r="J63" s="8">
        <v>465.05</v>
      </c>
      <c r="K63" s="8">
        <v>318.39</v>
      </c>
    </row>
    <row r="64" spans="1:11" ht="14.5" x14ac:dyDescent="0.35">
      <c r="A64" s="14" t="s">
        <v>24</v>
      </c>
      <c r="B64" s="8">
        <v>3368.75</v>
      </c>
      <c r="C64">
        <v>3925.71</v>
      </c>
      <c r="D64" s="8">
        <v>5128.75</v>
      </c>
      <c r="E64" s="8">
        <v>3964.26</v>
      </c>
      <c r="F64" s="8">
        <v>3623.83</v>
      </c>
      <c r="G64" s="8">
        <v>4088.77</v>
      </c>
      <c r="H64" s="8">
        <v>3154.11</v>
      </c>
      <c r="I64" s="8">
        <v>4581.0200000000004</v>
      </c>
      <c r="J64" s="8">
        <v>5889.85</v>
      </c>
      <c r="K64" s="8">
        <v>7525.2</v>
      </c>
    </row>
    <row r="65" spans="1:11" x14ac:dyDescent="0.25">
      <c r="A65" s="14" t="s">
        <v>67</v>
      </c>
      <c r="B65" s="8">
        <v>1022.14</v>
      </c>
      <c r="C65" s="8">
        <v>2890.46</v>
      </c>
      <c r="D65" s="8">
        <v>1473.22</v>
      </c>
      <c r="E65" s="8">
        <v>2106.8000000000002</v>
      </c>
      <c r="F65" s="8">
        <v>2892.08</v>
      </c>
      <c r="G65" s="8">
        <v>2915.97</v>
      </c>
      <c r="H65" s="8">
        <v>3748.66</v>
      </c>
      <c r="I65" s="8">
        <v>3859.81</v>
      </c>
      <c r="J65" s="8">
        <v>4006.22</v>
      </c>
      <c r="K65" s="8">
        <v>4306.6899999999996</v>
      </c>
    </row>
    <row r="66" spans="1:11" s="11" customFormat="1" ht="13" x14ac:dyDescent="0.3">
      <c r="A66" s="11" t="s">
        <v>21</v>
      </c>
      <c r="B66" s="8">
        <v>6085.14</v>
      </c>
      <c r="C66" s="8">
        <v>8523.09</v>
      </c>
      <c r="D66" s="8">
        <v>10732.21</v>
      </c>
      <c r="E66" s="8">
        <v>9895.41</v>
      </c>
      <c r="F66" s="8">
        <v>9648.98</v>
      </c>
      <c r="G66" s="8">
        <v>10102.1</v>
      </c>
      <c r="H66" s="8">
        <v>10528.01</v>
      </c>
      <c r="I66" s="8">
        <v>12630.58</v>
      </c>
      <c r="J66" s="8">
        <v>14756.71</v>
      </c>
      <c r="K66" s="8">
        <v>16804.82</v>
      </c>
    </row>
    <row r="67" spans="1:11" x14ac:dyDescent="0.25">
      <c r="A67" s="14" t="s">
        <v>72</v>
      </c>
      <c r="B67" s="8">
        <v>149.94</v>
      </c>
      <c r="C67" s="8">
        <v>108.39</v>
      </c>
      <c r="D67" s="8">
        <v>130.59</v>
      </c>
      <c r="E67" s="8">
        <v>272.31</v>
      </c>
      <c r="F67" s="8">
        <v>665</v>
      </c>
      <c r="G67" s="8">
        <v>920.58</v>
      </c>
      <c r="H67" s="8">
        <v>1389.59</v>
      </c>
      <c r="I67" s="8">
        <v>1282.8</v>
      </c>
      <c r="J67" s="8">
        <v>1561.87</v>
      </c>
      <c r="K67" s="8">
        <v>1520.18</v>
      </c>
    </row>
    <row r="68" spans="1:11" ht="14.5" x14ac:dyDescent="0.35">
      <c r="A68" s="14" t="s">
        <v>40</v>
      </c>
      <c r="B68">
        <v>326.83</v>
      </c>
      <c r="C68">
        <v>436.4</v>
      </c>
      <c r="D68">
        <v>524.92999999999995</v>
      </c>
      <c r="E68">
        <v>675.57</v>
      </c>
      <c r="F68">
        <v>636.76</v>
      </c>
      <c r="G68">
        <v>669.55</v>
      </c>
      <c r="H68">
        <v>815.49</v>
      </c>
      <c r="I68">
        <v>672.98</v>
      </c>
      <c r="J68">
        <v>656.31</v>
      </c>
      <c r="K68">
        <v>823.58</v>
      </c>
    </row>
    <row r="69" spans="1:11" x14ac:dyDescent="0.25">
      <c r="A69" s="14" t="s">
        <v>81</v>
      </c>
      <c r="B69" s="8">
        <v>219.57</v>
      </c>
      <c r="C69" s="8">
        <v>1907.21</v>
      </c>
      <c r="D69" s="8">
        <v>71.52</v>
      </c>
      <c r="E69" s="8">
        <v>76.819999999999993</v>
      </c>
      <c r="F69" s="8">
        <v>181.04</v>
      </c>
      <c r="G69" s="8">
        <v>117.5</v>
      </c>
      <c r="H69" s="8">
        <v>159.25</v>
      </c>
      <c r="I69" s="8">
        <v>131.36000000000001</v>
      </c>
      <c r="J69" s="8">
        <v>136.72999999999999</v>
      </c>
      <c r="K69" s="8">
        <v>141.34</v>
      </c>
    </row>
    <row r="70" spans="1:11" x14ac:dyDescent="0.25">
      <c r="A70" s="14" t="s">
        <v>68</v>
      </c>
      <c r="B70" s="8">
        <v>199687500</v>
      </c>
      <c r="C70" s="8">
        <v>199687500</v>
      </c>
      <c r="D70" s="8">
        <v>199687500</v>
      </c>
      <c r="E70" s="8">
        <v>199687500</v>
      </c>
      <c r="F70" s="8">
        <v>199687500</v>
      </c>
      <c r="G70" s="8">
        <v>199687500</v>
      </c>
      <c r="H70" s="8">
        <v>199687500</v>
      </c>
      <c r="I70" s="8">
        <v>199690088</v>
      </c>
      <c r="J70" s="8">
        <v>199696838</v>
      </c>
      <c r="K70" s="8">
        <v>199696838</v>
      </c>
    </row>
    <row r="71" spans="1:11" x14ac:dyDescent="0.25">
      <c r="A71" s="14" t="s">
        <v>69</v>
      </c>
    </row>
    <row r="72" spans="1:11" x14ac:dyDescent="0.25">
      <c r="A72" s="14" t="s">
        <v>82</v>
      </c>
      <c r="B72" s="8">
        <v>2</v>
      </c>
      <c r="C72" s="8">
        <v>2</v>
      </c>
      <c r="D72" s="8">
        <v>2</v>
      </c>
      <c r="E72" s="8">
        <v>2</v>
      </c>
      <c r="F72" s="8">
        <v>2</v>
      </c>
      <c r="G72" s="8">
        <v>2</v>
      </c>
      <c r="H72" s="8">
        <v>2</v>
      </c>
      <c r="I72" s="8">
        <v>2</v>
      </c>
      <c r="J72" s="8">
        <v>2</v>
      </c>
      <c r="K72" s="8">
        <v>2</v>
      </c>
    </row>
    <row r="80" spans="1:11" ht="13" x14ac:dyDescent="0.3">
      <c r="A80" s="11" t="s">
        <v>36</v>
      </c>
    </row>
    <row r="81" spans="1:12" s="28" customFormat="1" ht="13" x14ac:dyDescent="0.3">
      <c r="A81" s="27" t="s">
        <v>33</v>
      </c>
      <c r="B81" s="9">
        <v>39903</v>
      </c>
      <c r="C81" s="9">
        <v>40268</v>
      </c>
      <c r="D81" s="9">
        <v>40633</v>
      </c>
      <c r="E81" s="9">
        <v>40999</v>
      </c>
      <c r="F81" s="9">
        <v>41364</v>
      </c>
      <c r="G81" s="9">
        <v>41729</v>
      </c>
      <c r="H81" s="9">
        <v>42094</v>
      </c>
      <c r="I81" s="9">
        <v>42460</v>
      </c>
      <c r="J81" s="9">
        <v>42825</v>
      </c>
      <c r="K81" s="9">
        <v>43190</v>
      </c>
      <c r="L81" s="9"/>
    </row>
    <row r="82" spans="1:12" s="11" customFormat="1" ht="13" x14ac:dyDescent="0.3">
      <c r="A82" s="14" t="s">
        <v>27</v>
      </c>
      <c r="B82" s="8">
        <v>1359.03</v>
      </c>
      <c r="C82" s="8">
        <v>2686.64</v>
      </c>
      <c r="D82" s="8">
        <v>2254.16</v>
      </c>
      <c r="E82" s="8">
        <v>2359.7800000000002</v>
      </c>
      <c r="F82" s="8">
        <v>1890.43</v>
      </c>
      <c r="G82" s="8">
        <v>2963.41</v>
      </c>
      <c r="H82" s="8">
        <v>2250</v>
      </c>
      <c r="I82" s="8">
        <v>3849.14</v>
      </c>
      <c r="J82" s="8">
        <v>4028.02</v>
      </c>
      <c r="K82" s="8">
        <v>3980.85</v>
      </c>
    </row>
    <row r="83" spans="1:12" x14ac:dyDescent="0.25">
      <c r="A83" s="14" t="s">
        <v>28</v>
      </c>
      <c r="B83" s="8">
        <v>-861.19</v>
      </c>
      <c r="C83" s="8">
        <v>-528.16999999999996</v>
      </c>
      <c r="D83" s="8">
        <v>-1322.31</v>
      </c>
      <c r="E83" s="8">
        <v>92.79</v>
      </c>
      <c r="F83" s="8">
        <v>-732.94</v>
      </c>
      <c r="G83" s="8">
        <v>-1617.02</v>
      </c>
      <c r="H83" s="8">
        <v>12.08</v>
      </c>
      <c r="I83" s="8">
        <v>-2206.19</v>
      </c>
      <c r="J83" s="8">
        <v>-1943.94</v>
      </c>
      <c r="K83" s="8">
        <v>-1915.22</v>
      </c>
    </row>
    <row r="84" spans="1:12" x14ac:dyDescent="0.25">
      <c r="A84" s="14" t="s">
        <v>29</v>
      </c>
      <c r="B84" s="8">
        <v>-499.93</v>
      </c>
      <c r="C84" s="8">
        <v>-2109.31</v>
      </c>
      <c r="D84" s="8">
        <v>-955.23</v>
      </c>
      <c r="E84" s="8">
        <v>-2458.16</v>
      </c>
      <c r="F84" s="8">
        <v>-1056.27</v>
      </c>
      <c r="G84" s="8">
        <v>-1414.93</v>
      </c>
      <c r="H84" s="8">
        <v>-2230.52</v>
      </c>
      <c r="I84" s="8">
        <v>-1686.69</v>
      </c>
      <c r="J84" s="8">
        <v>-2095.63</v>
      </c>
      <c r="K84" s="8">
        <v>-2046.66</v>
      </c>
    </row>
    <row r="85" spans="1:12" s="11" customFormat="1" ht="13" x14ac:dyDescent="0.3">
      <c r="A85" s="14" t="s">
        <v>30</v>
      </c>
      <c r="B85" s="8">
        <v>-2.09</v>
      </c>
      <c r="C85" s="8">
        <v>49.16</v>
      </c>
      <c r="D85" s="8">
        <v>-23.38</v>
      </c>
      <c r="E85" s="8">
        <v>-5.59</v>
      </c>
      <c r="F85" s="8">
        <v>101.22</v>
      </c>
      <c r="G85" s="8">
        <v>-68.540000000000006</v>
      </c>
      <c r="H85" s="8">
        <v>31.56</v>
      </c>
      <c r="I85" s="8">
        <v>-43.74</v>
      </c>
      <c r="J85" s="8">
        <v>-11.55</v>
      </c>
      <c r="K85" s="8">
        <v>18.97</v>
      </c>
    </row>
    <row r="90" spans="1:12" s="11" customFormat="1" ht="13" x14ac:dyDescent="0.3">
      <c r="A90" s="11" t="s">
        <v>71</v>
      </c>
      <c r="B90" s="8">
        <v>1092.6611109999999</v>
      </c>
      <c r="C90" s="8">
        <v>1941.4571430000001</v>
      </c>
      <c r="D90" s="8">
        <v>1713.8026319999999</v>
      </c>
      <c r="E90" s="8">
        <v>2107.2824999999998</v>
      </c>
      <c r="F90" s="8">
        <v>1517.1524999999999</v>
      </c>
      <c r="G90" s="8">
        <v>2221.5578949999999</v>
      </c>
      <c r="H90" s="8">
        <v>2475.67</v>
      </c>
      <c r="I90" s="8">
        <v>2980.3736840000001</v>
      </c>
      <c r="J90" s="8">
        <v>3231.1131580000001</v>
      </c>
      <c r="K90" s="8">
        <v>3732.1642860000002</v>
      </c>
    </row>
    <row r="92" spans="1:12" s="11" customFormat="1" ht="13" x14ac:dyDescent="0.3">
      <c r="A92" s="11" t="s">
        <v>70</v>
      </c>
    </row>
    <row r="93" spans="1:12" x14ac:dyDescent="0.25">
      <c r="A93" s="14" t="s">
        <v>83</v>
      </c>
      <c r="B93" s="29">
        <f>IF($B7&gt;0,(B70*B72/$B7)+SUM(C71:$K71),0)/10000000</f>
        <v>19.96875</v>
      </c>
      <c r="C93" s="29">
        <f>IF($B7&gt;0,(C70*C72/$B7)+SUM(D71:$K71),0)/10000000</f>
        <v>19.96875</v>
      </c>
      <c r="D93" s="29">
        <f>IF($B7&gt;0,(D70*D72/$B7)+SUM(E71:$K71),0)/10000000</f>
        <v>19.96875</v>
      </c>
      <c r="E93" s="29">
        <f>IF($B7&gt;0,(E70*E72/$B7)+SUM(F71:$K71),0)/10000000</f>
        <v>19.96875</v>
      </c>
      <c r="F93" s="29">
        <f>IF($B7&gt;0,(F70*F72/$B7)+SUM(G71:$K71),0)/10000000</f>
        <v>19.96875</v>
      </c>
      <c r="G93" s="29">
        <f>IF($B7&gt;0,(G70*G72/$B7)+SUM(H71:$K71),0)/10000000</f>
        <v>19.96875</v>
      </c>
      <c r="H93" s="29">
        <f>IF($B7&gt;0,(H70*H72/$B7)+SUM(I71:$K71),0)/10000000</f>
        <v>19.96875</v>
      </c>
      <c r="I93" s="29">
        <f>IF($B7&gt;0,(I70*I72/$B7)+SUM(J71:$K71),0)/10000000</f>
        <v>19.969008800000001</v>
      </c>
      <c r="J93" s="29">
        <f>IF($B7&gt;0,(J70*J72/$B7)+SUM(K71:$K71),0)/10000000</f>
        <v>19.969683799999999</v>
      </c>
      <c r="K93" s="29">
        <f>IF($B7&gt;0,(K70*K72/$B7),0)/10000000</f>
        <v>19.969683799999999</v>
      </c>
    </row>
  </sheetData>
  <mergeCells count="2">
    <mergeCell ref="E1:K1"/>
    <mergeCell ref="E2:K2"/>
  </mergeCells>
  <conditionalFormatting sqref="E1:K1">
    <cfRule type="cellIs" dxfId="0" priority="1" operator="notEqual">
      <formula>""</formula>
    </cfRule>
  </conditionalFormatting>
  <hyperlinks>
    <hyperlink ref="E1:K1" r:id="rId1" display="https://www.screener.in/excel/" xr:uid="{00000000-0004-0000-05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DCD7-B3DF-4568-A908-CAEE3C206890}">
  <dimension ref="A1:Q34"/>
  <sheetViews>
    <sheetView topLeftCell="A18" workbookViewId="0">
      <selection activeCell="G22" sqref="G22:K34"/>
    </sheetView>
  </sheetViews>
  <sheetFormatPr defaultRowHeight="12.5" x14ac:dyDescent="0.25"/>
  <cols>
    <col min="1" max="1" width="21.08984375" style="8" bestFit="1" customWidth="1"/>
    <col min="2" max="11" width="6.7265625" style="8" bestFit="1" customWidth="1"/>
    <col min="12" max="16384" width="8.7265625" style="8"/>
  </cols>
  <sheetData>
    <row r="1" spans="1:17" ht="16" thickBot="1" x14ac:dyDescent="0.4">
      <c r="A1" s="418" t="s">
        <v>168</v>
      </c>
      <c r="B1" s="419"/>
      <c r="C1" s="419"/>
      <c r="D1" s="419"/>
      <c r="E1" s="419"/>
      <c r="F1" s="419"/>
      <c r="G1" s="419"/>
      <c r="H1" s="419"/>
      <c r="I1" s="419"/>
      <c r="J1" s="419"/>
      <c r="K1" s="420"/>
    </row>
    <row r="2" spans="1:17" ht="13" x14ac:dyDescent="0.3">
      <c r="A2" s="211" t="s">
        <v>179</v>
      </c>
      <c r="B2" s="113">
        <f>'Data Sheet'!B16</f>
        <v>39903</v>
      </c>
      <c r="C2" s="113">
        <f>'Data Sheet'!C16</f>
        <v>40268</v>
      </c>
      <c r="D2" s="113">
        <f>'Data Sheet'!D16</f>
        <v>40633</v>
      </c>
      <c r="E2" s="113">
        <f>'Data Sheet'!E16</f>
        <v>40999</v>
      </c>
      <c r="F2" s="113">
        <f>'Data Sheet'!F16</f>
        <v>41364</v>
      </c>
      <c r="G2" s="113">
        <f>'Data Sheet'!G16</f>
        <v>41729</v>
      </c>
      <c r="H2" s="113">
        <f>'Data Sheet'!H16</f>
        <v>42094</v>
      </c>
      <c r="I2" s="113">
        <f>'Data Sheet'!I16</f>
        <v>42460</v>
      </c>
      <c r="J2" s="113">
        <f>'Data Sheet'!J16</f>
        <v>42825</v>
      </c>
      <c r="K2" s="113">
        <f>'Data Sheet'!K16</f>
        <v>43190</v>
      </c>
      <c r="M2" s="421" t="s">
        <v>259</v>
      </c>
      <c r="N2" s="422"/>
      <c r="O2" s="422"/>
      <c r="P2" s="422"/>
      <c r="Q2" s="423"/>
    </row>
    <row r="3" spans="1:17" x14ac:dyDescent="0.25">
      <c r="A3" s="213" t="s">
        <v>4</v>
      </c>
      <c r="B3" s="115">
        <v>1</v>
      </c>
      <c r="C3" s="115">
        <v>1</v>
      </c>
      <c r="D3" s="115">
        <v>1</v>
      </c>
      <c r="E3" s="115">
        <v>1</v>
      </c>
      <c r="F3" s="115">
        <v>1</v>
      </c>
      <c r="G3" s="115">
        <v>1</v>
      </c>
      <c r="H3" s="115">
        <v>1</v>
      </c>
      <c r="I3" s="115">
        <v>1</v>
      </c>
      <c r="J3" s="115">
        <v>1</v>
      </c>
      <c r="K3" s="217">
        <v>1</v>
      </c>
      <c r="M3" s="424"/>
      <c r="N3" s="425"/>
      <c r="O3" s="425"/>
      <c r="P3" s="425"/>
      <c r="Q3" s="426"/>
    </row>
    <row r="4" spans="1:17" x14ac:dyDescent="0.25">
      <c r="A4" s="213" t="s">
        <v>74</v>
      </c>
      <c r="B4" s="38">
        <f>'Data Sheet'!B18/'Data Sheet'!B$17</f>
        <v>0.71110761158264546</v>
      </c>
      <c r="C4" s="38">
        <f>'Data Sheet'!C18/'Data Sheet'!C$17</f>
        <v>0.6809422154081245</v>
      </c>
      <c r="D4" s="38">
        <f>'Data Sheet'!D18/'Data Sheet'!D$17</f>
        <v>0.72869476279169998</v>
      </c>
      <c r="E4" s="38">
        <f>'Data Sheet'!E18/'Data Sheet'!E$17</f>
        <v>0.73647686100742904</v>
      </c>
      <c r="F4" s="38">
        <f>'Data Sheet'!F18/'Data Sheet'!F$17</f>
        <v>0.73059490216092071</v>
      </c>
      <c r="G4" s="38">
        <f>'Data Sheet'!G18/'Data Sheet'!G$17</f>
        <v>0.72091755365973409</v>
      </c>
      <c r="H4" s="38">
        <f>'Data Sheet'!H18/'Data Sheet'!H$17</f>
        <v>0.71718922759585724</v>
      </c>
      <c r="I4" s="38">
        <f>'Data Sheet'!I18/'Data Sheet'!I$17</f>
        <v>0.67932088022585757</v>
      </c>
      <c r="J4" s="38">
        <f>'Data Sheet'!J18/'Data Sheet'!J$17</f>
        <v>0.66574750021578599</v>
      </c>
      <c r="K4" s="214">
        <f>'Data Sheet'!K18/'Data Sheet'!K$17</f>
        <v>0.67817119752135324</v>
      </c>
      <c r="M4" s="424"/>
      <c r="N4" s="425"/>
      <c r="O4" s="425"/>
      <c r="P4" s="425"/>
      <c r="Q4" s="426"/>
    </row>
    <row r="5" spans="1:17" x14ac:dyDescent="0.25">
      <c r="A5" s="213" t="s">
        <v>75</v>
      </c>
      <c r="B5" s="38">
        <f>'Data Sheet'!B19/'Data Sheet'!B$17</f>
        <v>1.4781900005844573E-3</v>
      </c>
      <c r="C5" s="38">
        <f>'Data Sheet'!C19/'Data Sheet'!C$17</f>
        <v>-3.7758167504115323E-4</v>
      </c>
      <c r="D5" s="38">
        <f>'Data Sheet'!D19/'Data Sheet'!D$17</f>
        <v>1.2403385309669639E-3</v>
      </c>
      <c r="E5" s="38">
        <f>'Data Sheet'!E19/'Data Sheet'!E$17</f>
        <v>3.55570182488423E-3</v>
      </c>
      <c r="F5" s="38">
        <f>'Data Sheet'!F19/'Data Sheet'!F$17</f>
        <v>-1.3800003450000862E-3</v>
      </c>
      <c r="G5" s="38">
        <f>'Data Sheet'!G19/'Data Sheet'!G$17</f>
        <v>-3.3075547160942996E-4</v>
      </c>
      <c r="H5" s="38">
        <f>'Data Sheet'!H19/'Data Sheet'!H$17</f>
        <v>1.0864482169851335E-3</v>
      </c>
      <c r="I5" s="38">
        <f>'Data Sheet'!I19/'Data Sheet'!I$17</f>
        <v>4.1768186564566657E-4</v>
      </c>
      <c r="J5" s="38">
        <f>'Data Sheet'!J19/'Data Sheet'!J$17</f>
        <v>-2.2164554537014492E-3</v>
      </c>
      <c r="K5" s="214">
        <f>'Data Sheet'!K19/'Data Sheet'!K$17</f>
        <v>7.1826397923208725E-4</v>
      </c>
      <c r="M5" s="424"/>
      <c r="N5" s="425"/>
      <c r="O5" s="425"/>
      <c r="P5" s="425"/>
      <c r="Q5" s="426"/>
    </row>
    <row r="6" spans="1:17" x14ac:dyDescent="0.25">
      <c r="A6" s="213" t="s">
        <v>76</v>
      </c>
      <c r="B6" s="38">
        <f>'Data Sheet'!B20/'Data Sheet'!B$17</f>
        <v>5.9825701835845412E-3</v>
      </c>
      <c r="C6" s="38">
        <f>'Data Sheet'!C20/'Data Sheet'!C$17</f>
        <v>5.1433604642160454E-3</v>
      </c>
      <c r="D6" s="38">
        <f>'Data Sheet'!D20/'Data Sheet'!D$17</f>
        <v>5.1794186286887312E-3</v>
      </c>
      <c r="E6" s="38">
        <f>'Data Sheet'!E20/'Data Sheet'!E$17</f>
        <v>4.7779743271881836E-3</v>
      </c>
      <c r="F6" s="38">
        <f>'Data Sheet'!F20/'Data Sheet'!F$17</f>
        <v>5.4350135538753395E-3</v>
      </c>
      <c r="G6" s="38">
        <f>'Data Sheet'!G20/'Data Sheet'!G$17</f>
        <v>5.4384745367741924E-3</v>
      </c>
      <c r="H6" s="38">
        <f>'Data Sheet'!H20/'Data Sheet'!H$17</f>
        <v>5.744726357879015E-3</v>
      </c>
      <c r="I6" s="38">
        <f>'Data Sheet'!I20/'Data Sheet'!I$17</f>
        <v>4.2938961490997692E-3</v>
      </c>
      <c r="J6" s="38">
        <f>'Data Sheet'!J20/'Data Sheet'!J$17</f>
        <v>3.9515151685271047E-3</v>
      </c>
      <c r="K6" s="214">
        <f>'Data Sheet'!K20/'Data Sheet'!K$17</f>
        <v>4.3055504275609831E-3</v>
      </c>
      <c r="M6" s="424"/>
      <c r="N6" s="425"/>
      <c r="O6" s="425"/>
      <c r="P6" s="425"/>
      <c r="Q6" s="426"/>
    </row>
    <row r="7" spans="1:17" x14ac:dyDescent="0.25">
      <c r="A7" s="213" t="s">
        <v>77</v>
      </c>
      <c r="B7" s="38">
        <f>'Data Sheet'!B21/'Data Sheet'!B$17</f>
        <v>9.1995207449882769E-3</v>
      </c>
      <c r="C7" s="38">
        <f>'Data Sheet'!C21/'Data Sheet'!C$17</f>
        <v>9.1057469834714411E-3</v>
      </c>
      <c r="D7" s="38">
        <f>'Data Sheet'!D21/'Data Sheet'!D$17</f>
        <v>8.4972984230791641E-3</v>
      </c>
      <c r="E7" s="38">
        <f>'Data Sheet'!E21/'Data Sheet'!E$17</f>
        <v>7.9545256950773642E-3</v>
      </c>
      <c r="F7" s="38">
        <f>'Data Sheet'!F21/'Data Sheet'!F$17</f>
        <v>9.001977860250563E-3</v>
      </c>
      <c r="G7" s="38">
        <f>'Data Sheet'!G21/'Data Sheet'!G$17</f>
        <v>9.2029940491709945E-3</v>
      </c>
      <c r="H7" s="38">
        <f>'Data Sheet'!H21/'Data Sheet'!H$17</f>
        <v>8.8960424573957878E-3</v>
      </c>
      <c r="I7" s="38">
        <f>'Data Sheet'!I21/'Data Sheet'!I$17</f>
        <v>7.377991540887468E-3</v>
      </c>
      <c r="J7" s="38">
        <f>'Data Sheet'!J21/'Data Sheet'!J$17</f>
        <v>7.1791823710915552E-3</v>
      </c>
      <c r="K7" s="214">
        <f>'Data Sheet'!K21/'Data Sheet'!K$17</f>
        <v>7.4562937144300317E-3</v>
      </c>
      <c r="M7" s="424"/>
      <c r="N7" s="425"/>
      <c r="O7" s="425"/>
      <c r="P7" s="425"/>
      <c r="Q7" s="426"/>
    </row>
    <row r="8" spans="1:17" x14ac:dyDescent="0.25">
      <c r="A8" s="213" t="s">
        <v>78</v>
      </c>
      <c r="B8" s="38">
        <f>'Data Sheet'!B22/'Data Sheet'!B$17</f>
        <v>3.0092246848800883E-2</v>
      </c>
      <c r="C8" s="38">
        <f>'Data Sheet'!C22/'Data Sheet'!C$17</f>
        <v>2.7784299963574472E-2</v>
      </c>
      <c r="D8" s="38">
        <f>'Data Sheet'!D22/'Data Sheet'!D$17</f>
        <v>3.19080437964257E-2</v>
      </c>
      <c r="E8" s="38">
        <f>'Data Sheet'!E22/'Data Sheet'!E$17</f>
        <v>3.1193819253803063E-2</v>
      </c>
      <c r="F8" s="38">
        <f>'Data Sheet'!F22/'Data Sheet'!F$17</f>
        <v>3.4538715951752154E-2</v>
      </c>
      <c r="G8" s="38">
        <f>'Data Sheet'!G22/'Data Sheet'!G$17</f>
        <v>3.6796150576032804E-2</v>
      </c>
      <c r="H8" s="38">
        <f>'Data Sheet'!H22/'Data Sheet'!H$17</f>
        <v>4.2517935277122235E-2</v>
      </c>
      <c r="I8" s="38">
        <f>'Data Sheet'!I22/'Data Sheet'!I$17</f>
        <v>4.6266001469621378E-2</v>
      </c>
      <c r="J8" s="38">
        <f>'Data Sheet'!J22/'Data Sheet'!J$17</f>
        <v>4.8982016430612001E-2</v>
      </c>
      <c r="K8" s="214">
        <f>'Data Sheet'!K22/'Data Sheet'!K$17</f>
        <v>4.7784876990700421E-2</v>
      </c>
      <c r="M8" s="424"/>
      <c r="N8" s="425"/>
      <c r="O8" s="425"/>
      <c r="P8" s="425"/>
      <c r="Q8" s="426"/>
    </row>
    <row r="9" spans="1:17" x14ac:dyDescent="0.25">
      <c r="A9" s="213" t="s">
        <v>101</v>
      </c>
      <c r="B9" s="38">
        <f>'Data Sheet'!B23/'Data Sheet'!B$17</f>
        <v>8.501175408633084E-2</v>
      </c>
      <c r="C9" s="38">
        <f>'Data Sheet'!C23/'Data Sheet'!C$17</f>
        <v>8.8935397361878082E-2</v>
      </c>
      <c r="D9" s="38">
        <f>'Data Sheet'!D23/'Data Sheet'!D$17</f>
        <v>7.1996857396639732E-2</v>
      </c>
      <c r="E9" s="38">
        <f>'Data Sheet'!E23/'Data Sheet'!E$17</f>
        <v>4.8999895245902821E-2</v>
      </c>
      <c r="F9" s="38">
        <f>'Data Sheet'!F23/'Data Sheet'!F$17</f>
        <v>5.8570917081753653E-2</v>
      </c>
      <c r="G9" s="38">
        <f>'Data Sheet'!G23/'Data Sheet'!G$17</f>
        <v>6.2980035583908023E-2</v>
      </c>
      <c r="H9" s="38">
        <f>'Data Sheet'!H23/'Data Sheet'!H$17</f>
        <v>6.9987638343610548E-2</v>
      </c>
      <c r="I9" s="38">
        <f>'Data Sheet'!I23/'Data Sheet'!I$17</f>
        <v>7.0547451542926659E-2</v>
      </c>
      <c r="J9" s="38">
        <f>'Data Sheet'!J23/'Data Sheet'!J$17</f>
        <v>7.2886542883869254E-2</v>
      </c>
      <c r="K9" s="214">
        <f>'Data Sheet'!K23/'Data Sheet'!K$17</f>
        <v>6.6989363177537786E-2</v>
      </c>
      <c r="M9" s="424"/>
      <c r="N9" s="425"/>
      <c r="O9" s="425"/>
      <c r="P9" s="425"/>
      <c r="Q9" s="426"/>
    </row>
    <row r="10" spans="1:17" ht="13" thickBot="1" x14ac:dyDescent="0.3">
      <c r="A10" s="213" t="s">
        <v>80</v>
      </c>
      <c r="B10" s="38">
        <f>'Data Sheet'!B24/'Data Sheet'!B$17</f>
        <v>2.3357999597373835E-2</v>
      </c>
      <c r="C10" s="38">
        <f>'Data Sheet'!C24/'Data Sheet'!C$17</f>
        <v>1.8785164276585237E-2</v>
      </c>
      <c r="D10" s="38">
        <f>'Data Sheet'!D24/'Data Sheet'!D$17</f>
        <v>2.4398995150513483E-2</v>
      </c>
      <c r="E10" s="38">
        <f>'Data Sheet'!E24/'Data Sheet'!E$17</f>
        <v>2.0678119498554436E-2</v>
      </c>
      <c r="F10" s="38">
        <f>'Data Sheet'!F24/'Data Sheet'!F$17</f>
        <v>2.2289950694438891E-2</v>
      </c>
      <c r="G10" s="38">
        <f>'Data Sheet'!G24/'Data Sheet'!G$17</f>
        <v>2.4274919516827972E-2</v>
      </c>
      <c r="H10" s="38">
        <f>'Data Sheet'!H24/'Data Sheet'!H$17</f>
        <v>3.3963016534168562E-2</v>
      </c>
      <c r="I10" s="38">
        <f>'Data Sheet'!I24/'Data Sheet'!I$17</f>
        <v>3.5981816072313808E-2</v>
      </c>
      <c r="J10" s="38">
        <f>'Data Sheet'!J24/'Data Sheet'!J$17</f>
        <v>3.6414499976491606E-2</v>
      </c>
      <c r="K10" s="214">
        <f>'Data Sheet'!K24/'Data Sheet'!K$17</f>
        <v>3.218505210438935E-2</v>
      </c>
      <c r="M10" s="427"/>
      <c r="N10" s="428"/>
      <c r="O10" s="428"/>
      <c r="P10" s="428"/>
      <c r="Q10" s="429"/>
    </row>
    <row r="11" spans="1:17" x14ac:dyDescent="0.25">
      <c r="A11" s="218" t="s">
        <v>6</v>
      </c>
      <c r="B11" s="116">
        <f>('Data Sheet'!B17-'Data Sheet'!B18-'Data Sheet'!B19-'Data Sheet'!B20-'Data Sheet'!B21-'Data Sheet'!B22-'Data Sheet'!B23-'Data Sheet'!B24)/'Data Sheet'!B$17</f>
        <v>0.13377010695569178</v>
      </c>
      <c r="C11" s="116">
        <f>('Data Sheet'!C17-'Data Sheet'!C18-'Data Sheet'!C19-'Data Sheet'!C20-'Data Sheet'!C21-'Data Sheet'!C22-'Data Sheet'!C23-'Data Sheet'!C24)/'Data Sheet'!C$17</f>
        <v>0.16968139721719133</v>
      </c>
      <c r="D11" s="116">
        <f>('Data Sheet'!D17-'Data Sheet'!D18-'Data Sheet'!D19-'Data Sheet'!D20-'Data Sheet'!D21-'Data Sheet'!D22-'Data Sheet'!D23-'Data Sheet'!D24)/'Data Sheet'!D$17</f>
        <v>0.12808428528198626</v>
      </c>
      <c r="E11" s="116">
        <f>('Data Sheet'!E17-'Data Sheet'!E18-'Data Sheet'!E19-'Data Sheet'!E20-'Data Sheet'!E21-'Data Sheet'!E22-'Data Sheet'!E23-'Data Sheet'!E24)/'Data Sheet'!E$17</f>
        <v>0.14636310314716081</v>
      </c>
      <c r="F11" s="116">
        <f>('Data Sheet'!F17-'Data Sheet'!F18-'Data Sheet'!F19-'Data Sheet'!F20-'Data Sheet'!F21-'Data Sheet'!F22-'Data Sheet'!F23-'Data Sheet'!F24)/'Data Sheet'!F$17</f>
        <v>0.14094852304200881</v>
      </c>
      <c r="G11" s="116">
        <f>('Data Sheet'!G17-'Data Sheet'!G18-'Data Sheet'!G19-'Data Sheet'!G20-'Data Sheet'!G21-'Data Sheet'!G22-'Data Sheet'!G23-'Data Sheet'!G24)/'Data Sheet'!G$17</f>
        <v>0.14072062754916137</v>
      </c>
      <c r="H11" s="116">
        <f>('Data Sheet'!H17-'Data Sheet'!H18-'Data Sheet'!H19-'Data Sheet'!H20-'Data Sheet'!H21-'Data Sheet'!H22-'Data Sheet'!H23-'Data Sheet'!H24)/'Data Sheet'!H$17</f>
        <v>0.12061496521698144</v>
      </c>
      <c r="I11" s="116">
        <f>('Data Sheet'!I17-'Data Sheet'!I18-'Data Sheet'!I19-'Data Sheet'!I20-'Data Sheet'!I21-'Data Sheet'!I22-'Data Sheet'!I23-'Data Sheet'!I24)/'Data Sheet'!I$17</f>
        <v>0.15579428113364768</v>
      </c>
      <c r="J11" s="116">
        <f>('Data Sheet'!J17-'Data Sheet'!J18-'Data Sheet'!J19-'Data Sheet'!J20-'Data Sheet'!J21-'Data Sheet'!J22-'Data Sheet'!J23-'Data Sheet'!J24)/'Data Sheet'!J$17</f>
        <v>0.16705519840732386</v>
      </c>
      <c r="K11" s="219">
        <f>('Data Sheet'!K17-'Data Sheet'!K18-'Data Sheet'!K19-'Data Sheet'!K20-'Data Sheet'!K21-'Data Sheet'!K22-'Data Sheet'!K23-'Data Sheet'!K24)/'Data Sheet'!K$17</f>
        <v>0.16238940208479613</v>
      </c>
    </row>
    <row r="12" spans="1:17" x14ac:dyDescent="0.25">
      <c r="A12" s="213" t="s">
        <v>7</v>
      </c>
      <c r="B12" s="38">
        <f>'Data Sheet'!B25/'Data Sheet'!B$17</f>
        <v>2.2753248608666853E-2</v>
      </c>
      <c r="C12" s="38">
        <f>'Data Sheet'!C25/'Data Sheet'!C$17</f>
        <v>2.3056596637428942E-2</v>
      </c>
      <c r="D12" s="38">
        <f>'Data Sheet'!D25/'Data Sheet'!D$17</f>
        <v>1.4930459074756946E-2</v>
      </c>
      <c r="E12" s="38">
        <f>'Data Sheet'!E25/'Data Sheet'!E$17</f>
        <v>1.5461619922448041E-2</v>
      </c>
      <c r="F12" s="38">
        <f>'Data Sheet'!F25/'Data Sheet'!F$17</f>
        <v>1.6761113946376048E-2</v>
      </c>
      <c r="G12" s="38">
        <f>'Data Sheet'!G25/'Data Sheet'!G$17</f>
        <v>1.7660601365671932E-2</v>
      </c>
      <c r="H12" s="38">
        <f>'Data Sheet'!H25/'Data Sheet'!H$17</f>
        <v>1.7862412226801957E-2</v>
      </c>
      <c r="I12" s="38">
        <f>'Data Sheet'!I25/'Data Sheet'!I$17</f>
        <v>1.4851965530698561E-2</v>
      </c>
      <c r="J12" s="38">
        <f>'Data Sheet'!J25/'Data Sheet'!J$17</f>
        <v>1.8330581330967991E-2</v>
      </c>
      <c r="K12" s="214">
        <f>'Data Sheet'!K25/'Data Sheet'!K$17</f>
        <v>1.6314365682929426E-2</v>
      </c>
    </row>
    <row r="13" spans="1:17" x14ac:dyDescent="0.25">
      <c r="A13" s="213" t="s">
        <v>8</v>
      </c>
      <c r="B13" s="38">
        <f>'Data Sheet'!B26/'Data Sheet'!B$17</f>
        <v>1.4665008539571008E-2</v>
      </c>
      <c r="C13" s="38">
        <f>'Data Sheet'!C26/'Data Sheet'!C$17</f>
        <v>1.2150514843719262E-2</v>
      </c>
      <c r="D13" s="38">
        <f>'Data Sheet'!D26/'Data Sheet'!D$17</f>
        <v>2.0743450460951246E-2</v>
      </c>
      <c r="E13" s="38">
        <f>'Data Sheet'!E26/'Data Sheet'!E$17</f>
        <v>4.6538810120687744E-2</v>
      </c>
      <c r="F13" s="38">
        <f>'Data Sheet'!F26/'Data Sheet'!F$17</f>
        <v>4.8037054692190502E-2</v>
      </c>
      <c r="G13" s="38">
        <f>'Data Sheet'!G26/'Data Sheet'!G$17</f>
        <v>4.3812043851212255E-2</v>
      </c>
      <c r="H13" s="38">
        <f>'Data Sheet'!H26/'Data Sheet'!H$17</f>
        <v>1.9574556013528945E-2</v>
      </c>
      <c r="I13" s="38">
        <f>'Data Sheet'!I26/'Data Sheet'!I$17</f>
        <v>1.5386724888987331E-2</v>
      </c>
      <c r="J13" s="38">
        <f>'Data Sheet'!J26/'Data Sheet'!J$17</f>
        <v>1.7288492887483221E-2</v>
      </c>
      <c r="K13" s="214">
        <f>'Data Sheet'!K26/'Data Sheet'!K$17</f>
        <v>1.7238335501570098E-2</v>
      </c>
    </row>
    <row r="14" spans="1:17" x14ac:dyDescent="0.25">
      <c r="A14" s="213" t="s">
        <v>9</v>
      </c>
      <c r="B14" s="38">
        <f>'Data Sheet'!B27/'Data Sheet'!B$17</f>
        <v>2.0537181227230515E-4</v>
      </c>
      <c r="C14" s="38">
        <f>'Data Sheet'!C27/'Data Sheet'!C$17</f>
        <v>1.3326412060275997E-4</v>
      </c>
      <c r="D14" s="38">
        <f>'Data Sheet'!D27/'Data Sheet'!D$17</f>
        <v>7.8204220759637753E-4</v>
      </c>
      <c r="E14" s="38">
        <f>'Data Sheet'!E27/'Data Sheet'!E$17</f>
        <v>9.0334504854525403E-4</v>
      </c>
      <c r="F14" s="38">
        <f>'Data Sheet'!F27/'Data Sheet'!F$17</f>
        <v>5.0109158868753129E-4</v>
      </c>
      <c r="G14" s="38">
        <f>'Data Sheet'!G27/'Data Sheet'!G$17</f>
        <v>4.6764709024204096E-4</v>
      </c>
      <c r="H14" s="38">
        <f>'Data Sheet'!H27/'Data Sheet'!H$17</f>
        <v>4.0202571659543309E-4</v>
      </c>
      <c r="I14" s="38">
        <f>'Data Sheet'!I27/'Data Sheet'!I$17</f>
        <v>1.7192460631374658E-4</v>
      </c>
      <c r="J14" s="38">
        <f>'Data Sheet'!J27/'Data Sheet'!J$17</f>
        <v>2.1227727552467575E-4</v>
      </c>
      <c r="K14" s="214">
        <f>'Data Sheet'!K27/'Data Sheet'!K$17</f>
        <v>1.9391576113177305E-4</v>
      </c>
    </row>
    <row r="15" spans="1:17" x14ac:dyDescent="0.25">
      <c r="A15" s="218" t="s">
        <v>172</v>
      </c>
      <c r="B15" s="116">
        <f>'Data Sheet'!B28/'Data Sheet'!B$17</f>
        <v>0.14460935521368409</v>
      </c>
      <c r="C15" s="116">
        <f>'Data Sheet'!C28/'Data Sheet'!C$17</f>
        <v>0.17969905154021593</v>
      </c>
      <c r="D15" s="116">
        <f>'Data Sheet'!D28/'Data Sheet'!D$17</f>
        <v>0.12396992875012953</v>
      </c>
      <c r="E15" s="116">
        <f>'Data Sheet'!E28/'Data Sheet'!E$17</f>
        <v>0.12149397155014435</v>
      </c>
      <c r="F15" s="116">
        <f>'Data Sheet'!F28/'Data Sheet'!F$17</f>
        <v>0.10641149001750665</v>
      </c>
      <c r="G15" s="116">
        <f>'Data Sheet'!G28/'Data Sheet'!G$17</f>
        <v>0.11344002703016007</v>
      </c>
      <c r="H15" s="116">
        <f>'Data Sheet'!H28/'Data Sheet'!H$17</f>
        <v>0.12067369214762937</v>
      </c>
      <c r="I15" s="116">
        <f>'Data Sheet'!I28/'Data Sheet'!I$17</f>
        <v>0.15592296090033647</v>
      </c>
      <c r="J15" s="116">
        <f>'Data Sheet'!J28/'Data Sheet'!J$17</f>
        <v>0.16345209866788116</v>
      </c>
      <c r="K15" s="219">
        <f>'Data Sheet'!K28/'Data Sheet'!K$17</f>
        <v>0.16270804446348783</v>
      </c>
    </row>
    <row r="16" spans="1:17" x14ac:dyDescent="0.25">
      <c r="A16" s="213" t="s">
        <v>11</v>
      </c>
      <c r="B16" s="38">
        <f>'Data Sheet'!B29/'Data Sheet'!B$17</f>
        <v>4.0562962289514184E-2</v>
      </c>
      <c r="C16" s="38">
        <f>'Data Sheet'!C29/'Data Sheet'!C$17</f>
        <v>3.8069117118855092E-2</v>
      </c>
      <c r="D16" s="38">
        <f>'Data Sheet'!D29/'Data Sheet'!D$17</f>
        <v>2.4583035406355213E-2</v>
      </c>
      <c r="E16" s="38">
        <f>'Data Sheet'!E29/'Data Sheet'!E$17</f>
        <v>2.0636133038551628E-2</v>
      </c>
      <c r="F16" s="38">
        <f>'Data Sheet'!F29/'Data Sheet'!F$17</f>
        <v>1.7293760421001083E-2</v>
      </c>
      <c r="G16" s="38">
        <f>'Data Sheet'!G29/'Data Sheet'!G$17</f>
        <v>2.999627702274181E-2</v>
      </c>
      <c r="H16" s="38">
        <f>'Data Sheet'!H29/'Data Sheet'!H$17</f>
        <v>3.4191399042243512E-2</v>
      </c>
      <c r="I16" s="38">
        <f>'Data Sheet'!I29/'Data Sheet'!I$17</f>
        <v>4.4815717213907258E-2</v>
      </c>
      <c r="J16" s="38">
        <f>'Data Sheet'!J29/'Data Sheet'!J$17</f>
        <v>4.4958572598477353E-2</v>
      </c>
      <c r="K16" s="214">
        <f>'Data Sheet'!K29/'Data Sheet'!K$17</f>
        <v>4.7991823890980244E-2</v>
      </c>
    </row>
    <row r="17" spans="1:11" x14ac:dyDescent="0.25">
      <c r="A17" s="218" t="s">
        <v>173</v>
      </c>
      <c r="B17" s="116">
        <f>'Data Sheet'!B30/'Data Sheet'!B$17</f>
        <v>0.10404639292416989</v>
      </c>
      <c r="C17" s="116">
        <f>'Data Sheet'!C30/'Data Sheet'!C$17</f>
        <v>0.14162993442136085</v>
      </c>
      <c r="D17" s="116">
        <f>'Data Sheet'!D30/'Data Sheet'!D$17</f>
        <v>9.9386893343774318E-2</v>
      </c>
      <c r="E17" s="116">
        <f>'Data Sheet'!E30/'Data Sheet'!E$17</f>
        <v>0.10085783851159273</v>
      </c>
      <c r="F17" s="116">
        <f>'Data Sheet'!F30/'Data Sheet'!F$17</f>
        <v>8.911772959650556E-2</v>
      </c>
      <c r="G17" s="116">
        <f>'Data Sheet'!G30/'Data Sheet'!G$17</f>
        <v>8.3443750007418258E-2</v>
      </c>
      <c r="H17" s="116">
        <f>'Data Sheet'!H30/'Data Sheet'!H$17</f>
        <v>8.6482293105385841E-2</v>
      </c>
      <c r="I17" s="116">
        <f>'Data Sheet'!I30/'Data Sheet'!I$17</f>
        <v>0.1111072436864292</v>
      </c>
      <c r="J17" s="116">
        <f>'Data Sheet'!J30/'Data Sheet'!J$17</f>
        <v>0.11849352606940379</v>
      </c>
      <c r="K17" s="219">
        <f>'Data Sheet'!K30/'Data Sheet'!K$17</f>
        <v>0.11471622057250758</v>
      </c>
    </row>
    <row r="18" spans="1:11" ht="13" thickBot="1" x14ac:dyDescent="0.3">
      <c r="A18" s="220" t="s">
        <v>64</v>
      </c>
      <c r="B18" s="221">
        <f>'Data Sheet'!B31/'Data Sheet'!B$17</f>
        <v>3.2421146965042953E-2</v>
      </c>
      <c r="C18" s="221">
        <f>'Data Sheet'!C31/'Data Sheet'!C$17</f>
        <v>0.1394006160609918</v>
      </c>
      <c r="D18" s="221">
        <f>'Data Sheet'!D31/'Data Sheet'!D$17</f>
        <v>0.10809658556351115</v>
      </c>
      <c r="E18" s="221">
        <f>'Data Sheet'!E31/'Data Sheet'!E$17</f>
        <v>3.8112254829821245E-2</v>
      </c>
      <c r="F18" s="221">
        <f>'Data Sheet'!F31/'Data Sheet'!F$17</f>
        <v>5.0412085773753154E-2</v>
      </c>
      <c r="G18" s="221">
        <f>'Data Sheet'!G31/'Data Sheet'!G$17</f>
        <v>5.1356117215624469E-2</v>
      </c>
      <c r="H18" s="221">
        <f>'Data Sheet'!H31/'Data Sheet'!H$17</f>
        <v>4.3436177964350578E-2</v>
      </c>
      <c r="I18" s="221">
        <f>'Data Sheet'!I31/'Data Sheet'!I$17</f>
        <v>5.0552162769357332E-2</v>
      </c>
      <c r="J18" s="221">
        <f>'Data Sheet'!J31/'Data Sheet'!J$17</f>
        <v>5.9558687824687748E-2</v>
      </c>
      <c r="K18" s="222">
        <f>'Data Sheet'!K31/'Data Sheet'!K$17</f>
        <v>5.8861965796982919E-2</v>
      </c>
    </row>
    <row r="19" spans="1:11" ht="13" thickBot="1" x14ac:dyDescent="0.3"/>
    <row r="20" spans="1:11" ht="15.5" x14ac:dyDescent="0.35">
      <c r="A20" s="418" t="s">
        <v>169</v>
      </c>
      <c r="B20" s="419"/>
      <c r="C20" s="419"/>
      <c r="D20" s="419"/>
      <c r="E20" s="419"/>
      <c r="F20" s="419"/>
      <c r="G20" s="419"/>
      <c r="H20" s="419"/>
      <c r="I20" s="419"/>
      <c r="J20" s="419"/>
      <c r="K20" s="420"/>
    </row>
    <row r="21" spans="1:11" ht="13" x14ac:dyDescent="0.3">
      <c r="A21" s="211" t="s">
        <v>179</v>
      </c>
      <c r="B21" s="113">
        <f>B2</f>
        <v>39903</v>
      </c>
      <c r="C21" s="113">
        <f t="shared" ref="C21:K21" si="0">C2</f>
        <v>40268</v>
      </c>
      <c r="D21" s="113">
        <f t="shared" si="0"/>
        <v>40633</v>
      </c>
      <c r="E21" s="113">
        <f t="shared" si="0"/>
        <v>40999</v>
      </c>
      <c r="F21" s="113">
        <f t="shared" si="0"/>
        <v>41364</v>
      </c>
      <c r="G21" s="113">
        <f t="shared" si="0"/>
        <v>41729</v>
      </c>
      <c r="H21" s="113">
        <f t="shared" si="0"/>
        <v>42094</v>
      </c>
      <c r="I21" s="113">
        <f t="shared" si="0"/>
        <v>42460</v>
      </c>
      <c r="J21" s="113">
        <f t="shared" si="0"/>
        <v>42825</v>
      </c>
      <c r="K21" s="113">
        <f t="shared" si="0"/>
        <v>43190</v>
      </c>
    </row>
    <row r="22" spans="1:11" x14ac:dyDescent="0.25">
      <c r="A22" s="213" t="s">
        <v>19</v>
      </c>
      <c r="B22" s="38">
        <f>'Data Sheet'!B57/'Data Sheet'!B$61</f>
        <v>6.5635301735046349E-3</v>
      </c>
      <c r="C22" s="38">
        <f>'Data Sheet'!C57/'Data Sheet'!C$61</f>
        <v>4.6860938931772393E-3</v>
      </c>
      <c r="D22" s="38">
        <f>'Data Sheet'!D57/'Data Sheet'!D$61</f>
        <v>3.7215074993873585E-3</v>
      </c>
      <c r="E22" s="38">
        <f>'Data Sheet'!E57/'Data Sheet'!E$61</f>
        <v>4.0362147702823837E-3</v>
      </c>
      <c r="F22" s="38">
        <f>'Data Sheet'!F57/'Data Sheet'!F$61</f>
        <v>4.1392976252412174E-3</v>
      </c>
      <c r="G22" s="38">
        <f>'Data Sheet'!G57/'Data Sheet'!G$61</f>
        <v>3.9536334029558204E-3</v>
      </c>
      <c r="H22" s="38">
        <f>'Data Sheet'!H57/'Data Sheet'!H$61</f>
        <v>3.793689405690154E-3</v>
      </c>
      <c r="I22" s="38">
        <f>'Data Sheet'!I57/'Data Sheet'!I$61</f>
        <v>3.1621667413531283E-3</v>
      </c>
      <c r="J22" s="38">
        <f>'Data Sheet'!J57/'Data Sheet'!J$61</f>
        <v>2.7065653523041383E-3</v>
      </c>
      <c r="K22" s="214">
        <f>'Data Sheet'!K57/'Data Sheet'!K$61</f>
        <v>2.3766990661012732E-3</v>
      </c>
    </row>
    <row r="23" spans="1:11" x14ac:dyDescent="0.25">
      <c r="A23" s="213" t="s">
        <v>20</v>
      </c>
      <c r="B23" s="38">
        <f>'Data Sheet'!B58/'Data Sheet'!B$61</f>
        <v>0.61803179548868226</v>
      </c>
      <c r="C23" s="38">
        <f>'Data Sheet'!C58/'Data Sheet'!C$61</f>
        <v>0.4018589502164121</v>
      </c>
      <c r="D23" s="38">
        <f>'Data Sheet'!D58/'Data Sheet'!D$61</f>
        <v>0.27171663618210973</v>
      </c>
      <c r="E23" s="38">
        <f>'Data Sheet'!E58/'Data Sheet'!E$61</f>
        <v>0.42948094116363045</v>
      </c>
      <c r="F23" s="38">
        <f>'Data Sheet'!F58/'Data Sheet'!F$61</f>
        <v>0.51469689024124832</v>
      </c>
      <c r="G23" s="38">
        <f>'Data Sheet'!G58/'Data Sheet'!G$61</f>
        <v>0.55037368467942305</v>
      </c>
      <c r="H23" s="38">
        <f>'Data Sheet'!H58/'Data Sheet'!H$61</f>
        <v>0.61753265811867586</v>
      </c>
      <c r="I23" s="38">
        <f>'Data Sheet'!I58/'Data Sheet'!I$61</f>
        <v>0.69628393945487854</v>
      </c>
      <c r="J23" s="38">
        <f>'Data Sheet'!J58/'Data Sheet'!J$61</f>
        <v>0.6824929133932971</v>
      </c>
      <c r="K23" s="214">
        <f>'Data Sheet'!K58/'Data Sheet'!K$61</f>
        <v>0.69795094502648647</v>
      </c>
    </row>
    <row r="24" spans="1:11" x14ac:dyDescent="0.25">
      <c r="A24" s="213" t="s">
        <v>65</v>
      </c>
      <c r="B24" s="38">
        <f>'Data Sheet'!B59/'Data Sheet'!B$61</f>
        <v>1.2898635035512739E-2</v>
      </c>
      <c r="C24" s="38">
        <f>'Data Sheet'!C59/'Data Sheet'!C$61</f>
        <v>7.7471902795817008E-3</v>
      </c>
      <c r="D24" s="38">
        <f>'Data Sheet'!D59/'Data Sheet'!D$61</f>
        <v>6.4604587498753765E-2</v>
      </c>
      <c r="E24" s="38">
        <f>'Data Sheet'!E59/'Data Sheet'!E$61</f>
        <v>7.2704415481521234E-2</v>
      </c>
      <c r="F24" s="38">
        <f>'Data Sheet'!F59/'Data Sheet'!F$61</f>
        <v>6.6492002263451686E-2</v>
      </c>
      <c r="G24" s="38">
        <f>'Data Sheet'!G59/'Data Sheet'!G$61</f>
        <v>2.8138703833856325E-2</v>
      </c>
      <c r="H24" s="38">
        <f>'Data Sheet'!H59/'Data Sheet'!H$61</f>
        <v>0</v>
      </c>
      <c r="I24" s="38">
        <f>'Data Sheet'!I59/'Data Sheet'!I$61</f>
        <v>0</v>
      </c>
      <c r="J24" s="38">
        <f>'Data Sheet'!J59/'Data Sheet'!J$61</f>
        <v>0</v>
      </c>
      <c r="K24" s="214">
        <f>'Data Sheet'!K59/'Data Sheet'!K$61</f>
        <v>0</v>
      </c>
    </row>
    <row r="25" spans="1:11" x14ac:dyDescent="0.25">
      <c r="A25" s="213" t="s">
        <v>66</v>
      </c>
      <c r="B25" s="38">
        <f>'Data Sheet'!B60/'Data Sheet'!B$61</f>
        <v>0.36250603930230035</v>
      </c>
      <c r="C25" s="38">
        <f>'Data Sheet'!C60/'Data Sheet'!C$61</f>
        <v>0.58570776561082893</v>
      </c>
      <c r="D25" s="38">
        <f>'Data Sheet'!D60/'Data Sheet'!D$61</f>
        <v>0.65995726881974925</v>
      </c>
      <c r="E25" s="38">
        <f>'Data Sheet'!E60/'Data Sheet'!E$61</f>
        <v>0.493778428584566</v>
      </c>
      <c r="F25" s="38">
        <f>'Data Sheet'!F60/'Data Sheet'!F$61</f>
        <v>0.41467180987005881</v>
      </c>
      <c r="G25" s="38">
        <f>'Data Sheet'!G60/'Data Sheet'!G$61</f>
        <v>0.41753397808376475</v>
      </c>
      <c r="H25" s="38">
        <f>'Data Sheet'!H60/'Data Sheet'!H$61</f>
        <v>0.378673652475634</v>
      </c>
      <c r="I25" s="38">
        <f>'Data Sheet'!I60/'Data Sheet'!I$61</f>
        <v>0.30055389380376835</v>
      </c>
      <c r="J25" s="38">
        <f>'Data Sheet'!J60/'Data Sheet'!J$61</f>
        <v>0.31480052125439889</v>
      </c>
      <c r="K25" s="214">
        <f>'Data Sheet'!K60/'Data Sheet'!K$61</f>
        <v>0.29967235590741226</v>
      </c>
    </row>
    <row r="26" spans="1:11" ht="13" x14ac:dyDescent="0.3">
      <c r="A26" s="215" t="s">
        <v>170</v>
      </c>
      <c r="B26" s="114">
        <v>1</v>
      </c>
      <c r="C26" s="114">
        <v>1</v>
      </c>
      <c r="D26" s="114">
        <v>1</v>
      </c>
      <c r="E26" s="114">
        <v>1</v>
      </c>
      <c r="F26" s="114">
        <v>1</v>
      </c>
      <c r="G26" s="114">
        <v>1</v>
      </c>
      <c r="H26" s="114">
        <v>1</v>
      </c>
      <c r="I26" s="114">
        <v>1</v>
      </c>
      <c r="J26" s="114">
        <v>1</v>
      </c>
      <c r="K26" s="216">
        <v>1</v>
      </c>
    </row>
    <row r="27" spans="1:11" x14ac:dyDescent="0.25">
      <c r="A27" s="213" t="s">
        <v>22</v>
      </c>
      <c r="B27" s="38">
        <f>'Data Sheet'!B62/'Data Sheet'!B$66</f>
        <v>0.25861524960806159</v>
      </c>
      <c r="C27" s="38">
        <f>'Data Sheet'!C62/'Data Sheet'!C$66</f>
        <v>0.19462190355845121</v>
      </c>
      <c r="D27" s="38">
        <f>'Data Sheet'!D62/'Data Sheet'!D$66</f>
        <v>0.38019010064096775</v>
      </c>
      <c r="E27" s="38">
        <f>'Data Sheet'!E62/'Data Sheet'!E$66</f>
        <v>0.38255211254510935</v>
      </c>
      <c r="F27" s="38">
        <f>'Data Sheet'!F62/'Data Sheet'!F$66</f>
        <v>0.31826991039467384</v>
      </c>
      <c r="G27" s="38">
        <f>'Data Sheet'!G62/'Data Sheet'!G$66</f>
        <v>0.22205778996446282</v>
      </c>
      <c r="H27" s="38">
        <f>'Data Sheet'!H62/'Data Sheet'!H$66</f>
        <v>0.27666102140860427</v>
      </c>
      <c r="I27" s="38">
        <f>'Data Sheet'!I62/'Data Sheet'!I$66</f>
        <v>0.283783484210543</v>
      </c>
      <c r="J27" s="38">
        <f>'Data Sheet'!J62/'Data Sheet'!J$66</f>
        <v>0.29787059581708936</v>
      </c>
      <c r="K27" s="214">
        <f>'Data Sheet'!K62/'Data Sheet'!K$66</f>
        <v>0.27697648650803758</v>
      </c>
    </row>
    <row r="28" spans="1:11" x14ac:dyDescent="0.25">
      <c r="A28" s="213" t="s">
        <v>23</v>
      </c>
      <c r="B28" s="38">
        <f>'Data Sheet'!B63/'Data Sheet'!B$66</f>
        <v>1.9808911545173981E-2</v>
      </c>
      <c r="C28" s="38">
        <f>'Data Sheet'!C63/'Data Sheet'!C$66</f>
        <v>5.6481862798585959E-3</v>
      </c>
      <c r="D28" s="38">
        <f>'Data Sheet'!D63/'Data Sheet'!D$66</f>
        <v>4.6551455851124796E-3</v>
      </c>
      <c r="E28" s="38">
        <f>'Data Sheet'!E63/'Data Sheet'!E$66</f>
        <v>3.925052120124381E-3</v>
      </c>
      <c r="F28" s="38">
        <f>'Data Sheet'!F63/'Data Sheet'!F$66</f>
        <v>6.4348770543622234E-3</v>
      </c>
      <c r="G28" s="38">
        <f>'Data Sheet'!G63/'Data Sheet'!G$66</f>
        <v>8.4547767295908766E-2</v>
      </c>
      <c r="H28" s="38">
        <f>'Data Sheet'!H63/'Data Sheet'!H$66</f>
        <v>6.7681356685641444E-2</v>
      </c>
      <c r="I28" s="38">
        <f>'Data Sheet'!I63/'Data Sheet'!I$66</f>
        <v>4.7931290566228947E-2</v>
      </c>
      <c r="J28" s="38">
        <f>'Data Sheet'!J63/'Data Sheet'!J$66</f>
        <v>3.1514477142940402E-2</v>
      </c>
      <c r="K28" s="214">
        <f>'Data Sheet'!K63/'Data Sheet'!K$66</f>
        <v>1.894634991627402E-2</v>
      </c>
    </row>
    <row r="29" spans="1:11" x14ac:dyDescent="0.25">
      <c r="A29" s="213" t="s">
        <v>24</v>
      </c>
      <c r="B29" s="38">
        <f>'Data Sheet'!B64/'Data Sheet'!B$66</f>
        <v>0.55360271086614277</v>
      </c>
      <c r="C29" s="38">
        <f>'Data Sheet'!C64/'Data Sheet'!C$66</f>
        <v>0.46059703699010568</v>
      </c>
      <c r="D29" s="38">
        <f>'Data Sheet'!D64/'Data Sheet'!D$66</f>
        <v>0.47788386548530082</v>
      </c>
      <c r="E29" s="38">
        <f>'Data Sheet'!E64/'Data Sheet'!E$66</f>
        <v>0.40061604319578475</v>
      </c>
      <c r="F29" s="38">
        <f>'Data Sheet'!F64/'Data Sheet'!F$66</f>
        <v>0.37556612201496947</v>
      </c>
      <c r="G29" s="38">
        <f>'Data Sheet'!G64/'Data Sheet'!G$66</f>
        <v>0.40474455806218507</v>
      </c>
      <c r="H29" s="38">
        <f>'Data Sheet'!H64/'Data Sheet'!H$66</f>
        <v>0.29959223063048002</v>
      </c>
      <c r="I29" s="38">
        <f>'Data Sheet'!I64/'Data Sheet'!I$66</f>
        <v>0.36269276628626718</v>
      </c>
      <c r="J29" s="38">
        <f>'Data Sheet'!J64/'Data Sheet'!J$66</f>
        <v>0.39913029394763472</v>
      </c>
      <c r="K29" s="214">
        <f>'Data Sheet'!K64/'Data Sheet'!K$66</f>
        <v>0.44780009544880578</v>
      </c>
    </row>
    <row r="30" spans="1:11" x14ac:dyDescent="0.25">
      <c r="A30" s="213" t="s">
        <v>67</v>
      </c>
      <c r="B30" s="38">
        <f>'Data Sheet'!B65/'Data Sheet'!B$66</f>
        <v>0.16797312798062164</v>
      </c>
      <c r="C30" s="38">
        <f>'Data Sheet'!C65/'Data Sheet'!C$66</f>
        <v>0.33913287317158447</v>
      </c>
      <c r="D30" s="38">
        <f>'Data Sheet'!D65/'Data Sheet'!D$66</f>
        <v>0.13727088828861905</v>
      </c>
      <c r="E30" s="38">
        <f>'Data Sheet'!E65/'Data Sheet'!E$66</f>
        <v>0.21290679213898164</v>
      </c>
      <c r="F30" s="38">
        <f>'Data Sheet'!F65/'Data Sheet'!F$66</f>
        <v>0.2997290905359945</v>
      </c>
      <c r="G30" s="38">
        <f>'Data Sheet'!G65/'Data Sheet'!G$66</f>
        <v>0.28864988467744329</v>
      </c>
      <c r="H30" s="38">
        <f>'Data Sheet'!H65/'Data Sheet'!H$66</f>
        <v>0.3560653912752742</v>
      </c>
      <c r="I30" s="38">
        <f>'Data Sheet'!I65/'Data Sheet'!I$66</f>
        <v>0.30559245893696091</v>
      </c>
      <c r="J30" s="38">
        <f>'Data Sheet'!J65/'Data Sheet'!J$66</f>
        <v>0.27148463309233561</v>
      </c>
      <c r="K30" s="214">
        <f>'Data Sheet'!K65/'Data Sheet'!K$66</f>
        <v>0.25627706812688261</v>
      </c>
    </row>
    <row r="31" spans="1:11" ht="13" x14ac:dyDescent="0.3">
      <c r="A31" s="215" t="s">
        <v>171</v>
      </c>
      <c r="B31" s="114">
        <v>1</v>
      </c>
      <c r="C31" s="114">
        <v>1</v>
      </c>
      <c r="D31" s="114">
        <v>1</v>
      </c>
      <c r="E31" s="114">
        <v>1</v>
      </c>
      <c r="F31" s="114">
        <v>1</v>
      </c>
      <c r="G31" s="114">
        <v>1</v>
      </c>
      <c r="H31" s="114">
        <v>1</v>
      </c>
      <c r="I31" s="114">
        <v>1</v>
      </c>
      <c r="J31" s="114">
        <v>1</v>
      </c>
      <c r="K31" s="216">
        <v>1</v>
      </c>
    </row>
    <row r="32" spans="1:11" x14ac:dyDescent="0.25">
      <c r="A32" s="213" t="s">
        <v>72</v>
      </c>
      <c r="B32" s="38">
        <f>'Data Sheet'!B67/'Data Sheet'!B$66</f>
        <v>2.4640353385460317E-2</v>
      </c>
      <c r="C32" s="38">
        <f>'Data Sheet'!C67/'Data Sheet'!C$66</f>
        <v>1.271721875516978E-2</v>
      </c>
      <c r="D32" s="38">
        <f>'Data Sheet'!D67/'Data Sheet'!D$66</f>
        <v>1.2168043674136084E-2</v>
      </c>
      <c r="E32" s="38">
        <f>'Data Sheet'!E67/'Data Sheet'!E$66</f>
        <v>2.7518819331386977E-2</v>
      </c>
      <c r="F32" s="38">
        <f>'Data Sheet'!F67/'Data Sheet'!F$66</f>
        <v>6.8919201822368797E-2</v>
      </c>
      <c r="G32" s="38">
        <f>'Data Sheet'!G67/'Data Sheet'!G$66</f>
        <v>9.1127587333326737E-2</v>
      </c>
      <c r="H32" s="38">
        <f>'Data Sheet'!H67/'Data Sheet'!H$66</f>
        <v>0.13198980624068554</v>
      </c>
      <c r="I32" s="38">
        <f>'Data Sheet'!I67/'Data Sheet'!I$66</f>
        <v>0.10156303194310949</v>
      </c>
      <c r="J32" s="38">
        <f>'Data Sheet'!J67/'Data Sheet'!J$66</f>
        <v>0.10584134268410778</v>
      </c>
      <c r="K32" s="214">
        <f>'Data Sheet'!K67/'Data Sheet'!K$66</f>
        <v>9.0460951084272254E-2</v>
      </c>
    </row>
    <row r="33" spans="1:11" x14ac:dyDescent="0.25">
      <c r="A33" s="213" t="s">
        <v>40</v>
      </c>
      <c r="B33" s="38">
        <f>'Data Sheet'!B68/'Data Sheet'!B$66</f>
        <v>5.3709528457849771E-2</v>
      </c>
      <c r="C33" s="38">
        <f>'Data Sheet'!C68/'Data Sheet'!C$66</f>
        <v>5.1202087505822412E-2</v>
      </c>
      <c r="D33" s="38">
        <f>'Data Sheet'!D68/'Data Sheet'!D$66</f>
        <v>4.8911640752463847E-2</v>
      </c>
      <c r="E33" s="38">
        <f>'Data Sheet'!E68/'Data Sheet'!E$66</f>
        <v>6.8271046879310723E-2</v>
      </c>
      <c r="F33" s="38">
        <f>'Data Sheet'!F68/'Data Sheet'!F$66</f>
        <v>6.5992467597611362E-2</v>
      </c>
      <c r="G33" s="38">
        <f>'Data Sheet'!G68/'Data Sheet'!G$66</f>
        <v>6.6278298571584113E-2</v>
      </c>
      <c r="H33" s="38">
        <f>'Data Sheet'!H68/'Data Sheet'!H$66</f>
        <v>7.7459082960597489E-2</v>
      </c>
      <c r="I33" s="38">
        <f>'Data Sheet'!I68/'Data Sheet'!I$66</f>
        <v>5.3281797035448886E-2</v>
      </c>
      <c r="J33" s="38">
        <f>'Data Sheet'!J68/'Data Sheet'!J$66</f>
        <v>4.4475360700318704E-2</v>
      </c>
      <c r="K33" s="214">
        <f>'Data Sheet'!K68/'Data Sheet'!K$66</f>
        <v>4.9008558258880494E-2</v>
      </c>
    </row>
    <row r="34" spans="1:11" ht="13" thickBot="1" x14ac:dyDescent="0.3">
      <c r="A34" s="220" t="s">
        <v>81</v>
      </c>
      <c r="B34" s="221">
        <f>'Data Sheet'!B69/'Data Sheet'!B$66</f>
        <v>3.6082982478628262E-2</v>
      </c>
      <c r="C34" s="221">
        <f>'Data Sheet'!C69/'Data Sheet'!C$66</f>
        <v>0.22376978302470113</v>
      </c>
      <c r="D34" s="221">
        <f>'Data Sheet'!D69/'Data Sheet'!D$66</f>
        <v>6.6640514861337971E-3</v>
      </c>
      <c r="E34" s="221">
        <f>'Data Sheet'!E69/'Data Sheet'!E$66</f>
        <v>7.7631952592161413E-3</v>
      </c>
      <c r="F34" s="221">
        <f>'Data Sheet'!F69/'Data Sheet'!F$66</f>
        <v>1.8762604959280671E-2</v>
      </c>
      <c r="G34" s="221">
        <f>'Data Sheet'!G69/'Data Sheet'!G$66</f>
        <v>1.1631244988665723E-2</v>
      </c>
      <c r="H34" s="221">
        <f>'Data Sheet'!H69/'Data Sheet'!H$66</f>
        <v>1.5126315419533225E-2</v>
      </c>
      <c r="I34" s="221">
        <f>'Data Sheet'!I69/'Data Sheet'!I$66</f>
        <v>1.0400155812322159E-2</v>
      </c>
      <c r="J34" s="221">
        <f>'Data Sheet'!J69/'Data Sheet'!J$66</f>
        <v>9.2656154386716282E-3</v>
      </c>
      <c r="K34" s="222">
        <f>'Data Sheet'!K69/'Data Sheet'!K$66</f>
        <v>8.4106821733288435E-3</v>
      </c>
    </row>
  </sheetData>
  <mergeCells count="3">
    <mergeCell ref="A1:K1"/>
    <mergeCell ref="A20:K20"/>
    <mergeCell ref="M2:Q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0A00-A0D5-4FFF-90D7-C49DAC877E8D}">
  <dimension ref="A1:M27"/>
  <sheetViews>
    <sheetView workbookViewId="0">
      <selection activeCell="E20" sqref="E20"/>
    </sheetView>
  </sheetViews>
  <sheetFormatPr defaultRowHeight="12.5" x14ac:dyDescent="0.25"/>
  <cols>
    <col min="1" max="1" width="4.7265625" style="8" bestFit="1" customWidth="1"/>
    <col min="2" max="2" width="9.36328125" style="8" customWidth="1"/>
    <col min="3" max="3" width="10.90625" style="8" bestFit="1" customWidth="1"/>
    <col min="4" max="4" width="16.1796875" style="8" bestFit="1" customWidth="1"/>
    <col min="5" max="5" width="13" style="8" bestFit="1" customWidth="1"/>
    <col min="6" max="6" width="6.81640625" style="8" customWidth="1"/>
    <col min="7" max="7" width="8.7265625" style="8"/>
    <col min="8" max="8" width="4.7265625" style="8" bestFit="1" customWidth="1"/>
    <col min="9" max="9" width="8.453125" style="8" customWidth="1"/>
    <col min="10" max="10" width="10.90625" style="8" bestFit="1" customWidth="1"/>
    <col min="11" max="11" width="16.1796875" style="8" bestFit="1" customWidth="1"/>
    <col min="12" max="12" width="13" style="8" bestFit="1" customWidth="1"/>
    <col min="13" max="13" width="7" style="8" customWidth="1"/>
    <col min="14" max="16384" width="8.7265625" style="8"/>
  </cols>
  <sheetData>
    <row r="1" spans="1:13" ht="19" x14ac:dyDescent="0.4">
      <c r="A1" s="430" t="s">
        <v>241</v>
      </c>
      <c r="B1" s="431"/>
      <c r="C1" s="431"/>
      <c r="D1" s="431"/>
      <c r="E1" s="431"/>
      <c r="F1" s="431"/>
      <c r="G1" s="431"/>
      <c r="H1" s="431"/>
      <c r="I1" s="431"/>
      <c r="J1" s="431"/>
      <c r="K1" s="431"/>
      <c r="L1" s="431"/>
      <c r="M1" s="432"/>
    </row>
    <row r="2" spans="1:13" ht="13.5" thickBot="1" x14ac:dyDescent="0.35">
      <c r="A2" s="433" t="s">
        <v>242</v>
      </c>
      <c r="B2" s="434"/>
      <c r="C2" s="434"/>
      <c r="D2" s="434"/>
      <c r="E2" s="434"/>
      <c r="F2" s="434"/>
      <c r="G2" s="434"/>
      <c r="H2" s="434"/>
      <c r="I2" s="434"/>
      <c r="J2" s="434"/>
      <c r="K2" s="434"/>
      <c r="L2" s="434"/>
      <c r="M2" s="435"/>
    </row>
    <row r="4" spans="1:13" ht="13" x14ac:dyDescent="0.3">
      <c r="A4" s="439" t="str">
        <f>'Data Sheet'!B1</f>
        <v>HERO MOTOCORP LTD</v>
      </c>
      <c r="B4" s="439"/>
      <c r="C4" s="439"/>
      <c r="D4" s="439"/>
      <c r="H4" s="439" t="str">
        <f>A4</f>
        <v>HERO MOTOCORP LTD</v>
      </c>
      <c r="I4" s="439"/>
      <c r="J4" s="439"/>
      <c r="K4" s="439"/>
    </row>
    <row r="5" spans="1:13" ht="13" x14ac:dyDescent="0.3">
      <c r="A5" s="439" t="s">
        <v>243</v>
      </c>
      <c r="B5" s="439"/>
      <c r="C5" s="439"/>
      <c r="D5" s="439"/>
      <c r="E5" s="437"/>
      <c r="F5" s="438"/>
      <c r="H5" s="439" t="s">
        <v>244</v>
      </c>
      <c r="I5" s="439"/>
      <c r="J5" s="439"/>
      <c r="K5" s="439"/>
      <c r="L5" s="437"/>
      <c r="M5" s="438"/>
    </row>
    <row r="6" spans="1:13" ht="13" x14ac:dyDescent="0.3">
      <c r="A6" s="39" t="s">
        <v>109</v>
      </c>
      <c r="B6" s="40"/>
      <c r="C6" s="41" t="s">
        <v>110</v>
      </c>
      <c r="D6" s="40" t="s">
        <v>111</v>
      </c>
      <c r="E6" s="436" t="s">
        <v>112</v>
      </c>
      <c r="F6" s="436"/>
      <c r="H6" s="39" t="s">
        <v>109</v>
      </c>
      <c r="I6" s="40"/>
      <c r="J6" s="41" t="s">
        <v>110</v>
      </c>
      <c r="K6" s="40" t="s">
        <v>111</v>
      </c>
      <c r="L6" s="436" t="s">
        <v>112</v>
      </c>
      <c r="M6" s="436"/>
    </row>
    <row r="7" spans="1:13" ht="13" x14ac:dyDescent="0.3">
      <c r="A7" s="34">
        <v>0</v>
      </c>
      <c r="B7" s="15" t="s">
        <v>129</v>
      </c>
      <c r="C7" s="35"/>
      <c r="D7" s="37">
        <f>'Balance Sheet'!K19</f>
        <v>4618.1200000000008</v>
      </c>
      <c r="E7" s="33" t="s">
        <v>113</v>
      </c>
      <c r="F7" s="42">
        <v>0.15</v>
      </c>
      <c r="H7" s="34">
        <v>0</v>
      </c>
      <c r="I7" s="15" t="s">
        <v>129</v>
      </c>
      <c r="J7" s="35"/>
      <c r="K7" s="37">
        <f>D7</f>
        <v>4618.1200000000008</v>
      </c>
      <c r="L7" s="33" t="s">
        <v>113</v>
      </c>
      <c r="M7" s="42">
        <v>0.2</v>
      </c>
    </row>
    <row r="8" spans="1:13" ht="13" x14ac:dyDescent="0.3">
      <c r="A8" s="34">
        <v>1</v>
      </c>
      <c r="B8" s="15" t="s">
        <v>114</v>
      </c>
      <c r="C8" s="36">
        <f>'Cash Flow'!B13*(1+$F$7)</f>
        <v>2999.9704999999999</v>
      </c>
      <c r="D8" s="37">
        <f>C8/((1+$F$10)^A8)</f>
        <v>2678.5450892857139</v>
      </c>
      <c r="E8" s="33" t="s">
        <v>115</v>
      </c>
      <c r="F8" s="42">
        <v>0.1</v>
      </c>
      <c r="H8" s="34">
        <v>1</v>
      </c>
      <c r="I8" s="15" t="s">
        <v>114</v>
      </c>
      <c r="J8" s="36">
        <f>'Cash Flow'!B13*(1+$M$7)</f>
        <v>3130.404</v>
      </c>
      <c r="K8" s="37">
        <f>J8/((1+$M$10)^H8)</f>
        <v>2795.0035714285714</v>
      </c>
      <c r="L8" s="33" t="s">
        <v>115</v>
      </c>
      <c r="M8" s="42">
        <v>0.15</v>
      </c>
    </row>
    <row r="9" spans="1:13" ht="13" x14ac:dyDescent="0.3">
      <c r="A9" s="34">
        <v>2</v>
      </c>
      <c r="B9" s="15" t="s">
        <v>116</v>
      </c>
      <c r="C9" s="36">
        <f>C8*(1+$F$7)</f>
        <v>3449.9660749999998</v>
      </c>
      <c r="D9" s="37">
        <f t="shared" ref="D9:D18" si="0">C9/((1+$F$10)^A9)</f>
        <v>2750.2918327487241</v>
      </c>
      <c r="E9" s="33" t="s">
        <v>117</v>
      </c>
      <c r="F9" s="42">
        <v>0.05</v>
      </c>
      <c r="H9" s="34">
        <v>2</v>
      </c>
      <c r="I9" s="15" t="s">
        <v>116</v>
      </c>
      <c r="J9" s="36">
        <f>J8*(1+$M$7)</f>
        <v>3756.4847999999997</v>
      </c>
      <c r="K9" s="37">
        <f t="shared" ref="K9:K18" si="1">J9/((1+$M$10)^H9)</f>
        <v>2994.6466836734689</v>
      </c>
      <c r="L9" s="33" t="s">
        <v>117</v>
      </c>
      <c r="M9" s="42">
        <v>0.1</v>
      </c>
    </row>
    <row r="10" spans="1:13" ht="13" x14ac:dyDescent="0.3">
      <c r="A10" s="34">
        <v>3</v>
      </c>
      <c r="B10" s="15" t="s">
        <v>118</v>
      </c>
      <c r="C10" s="36">
        <f>C9*(1+$F$7)</f>
        <v>3967.4609862499997</v>
      </c>
      <c r="D10" s="37">
        <f t="shared" si="0"/>
        <v>2823.9603639830643</v>
      </c>
      <c r="E10" s="33" t="s">
        <v>120</v>
      </c>
      <c r="F10" s="42">
        <v>0.12</v>
      </c>
      <c r="H10" s="34">
        <v>3</v>
      </c>
      <c r="I10" s="15" t="s">
        <v>118</v>
      </c>
      <c r="J10" s="36">
        <f>J9*(1+$M$7)</f>
        <v>4507.7817599999998</v>
      </c>
      <c r="K10" s="37">
        <f t="shared" si="1"/>
        <v>3208.5500182215733</v>
      </c>
      <c r="L10" s="33" t="s">
        <v>120</v>
      </c>
      <c r="M10" s="42">
        <v>0.12</v>
      </c>
    </row>
    <row r="11" spans="1:13" x14ac:dyDescent="0.25">
      <c r="A11" s="34">
        <v>4</v>
      </c>
      <c r="B11" s="15" t="s">
        <v>119</v>
      </c>
      <c r="C11" s="36">
        <f>C10*(1+$F$8)</f>
        <v>4364.207084875</v>
      </c>
      <c r="D11" s="37">
        <f t="shared" si="0"/>
        <v>2773.5325003405101</v>
      </c>
      <c r="H11" s="34">
        <v>4</v>
      </c>
      <c r="I11" s="15" t="s">
        <v>119</v>
      </c>
      <c r="J11" s="36">
        <f>J10*(1+$M$8)</f>
        <v>5183.9490239999996</v>
      </c>
      <c r="K11" s="37">
        <f t="shared" si="1"/>
        <v>3294.4933222810796</v>
      </c>
    </row>
    <row r="12" spans="1:13" ht="13" x14ac:dyDescent="0.3">
      <c r="A12" s="34">
        <v>5</v>
      </c>
      <c r="B12" s="15" t="s">
        <v>121</v>
      </c>
      <c r="C12" s="36">
        <f t="shared" ref="C12:C13" si="2">C11*(1+$F$8)</f>
        <v>4800.6277933625006</v>
      </c>
      <c r="D12" s="37">
        <f t="shared" si="0"/>
        <v>2724.0051342630009</v>
      </c>
      <c r="E12" s="440" t="s">
        <v>260</v>
      </c>
      <c r="F12" s="440"/>
      <c r="G12" s="13"/>
      <c r="H12" s="34">
        <v>5</v>
      </c>
      <c r="I12" s="15" t="s">
        <v>121</v>
      </c>
      <c r="J12" s="36">
        <f t="shared" ref="J12:J13" si="3">J11*(1+$M$8)</f>
        <v>5961.5413775999987</v>
      </c>
      <c r="K12" s="37">
        <f t="shared" si="1"/>
        <v>3382.7386791278936</v>
      </c>
    </row>
    <row r="13" spans="1:13" ht="13" x14ac:dyDescent="0.3">
      <c r="A13" s="34">
        <v>6</v>
      </c>
      <c r="B13" s="15" t="s">
        <v>122</v>
      </c>
      <c r="C13" s="36">
        <f t="shared" si="2"/>
        <v>5280.6905726987507</v>
      </c>
      <c r="D13" s="37">
        <f t="shared" si="0"/>
        <v>2675.3621854368757</v>
      </c>
      <c r="E13" s="111" t="s">
        <v>4</v>
      </c>
      <c r="F13" s="117">
        <f>('Profit &amp; Loss'!K4/'Profit &amp; Loss'!F4)^(1/5)-1</f>
        <v>6.2807111898792511E-2</v>
      </c>
      <c r="H13" s="34">
        <v>6</v>
      </c>
      <c r="I13" s="15" t="s">
        <v>122</v>
      </c>
      <c r="J13" s="36">
        <f t="shared" si="3"/>
        <v>6855.7725842399977</v>
      </c>
      <c r="K13" s="37">
        <f t="shared" si="1"/>
        <v>3473.347750890247</v>
      </c>
    </row>
    <row r="14" spans="1:13" ht="13" x14ac:dyDescent="0.3">
      <c r="A14" s="34">
        <v>7</v>
      </c>
      <c r="B14" s="15" t="s">
        <v>123</v>
      </c>
      <c r="C14" s="36">
        <f>C13*(1+$F$9)</f>
        <v>5544.7251013336881</v>
      </c>
      <c r="D14" s="37">
        <f t="shared" si="0"/>
        <v>2508.152048847071</v>
      </c>
      <c r="E14" s="111" t="s">
        <v>132</v>
      </c>
      <c r="F14" s="117">
        <f>('Profit &amp; Loss'!K19/'Profit &amp; Loss'!F19)^(1/5)-1</f>
        <v>0.15701383508058342</v>
      </c>
      <c r="H14" s="34">
        <v>7</v>
      </c>
      <c r="I14" s="15" t="s">
        <v>123</v>
      </c>
      <c r="J14" s="36">
        <f>J13*(1+$M$9)</f>
        <v>7541.3498426639981</v>
      </c>
      <c r="K14" s="37">
        <f t="shared" si="1"/>
        <v>3411.3236839100646</v>
      </c>
    </row>
    <row r="15" spans="1:13" ht="13" x14ac:dyDescent="0.3">
      <c r="A15" s="34">
        <v>8</v>
      </c>
      <c r="B15" s="15" t="s">
        <v>124</v>
      </c>
      <c r="C15" s="36">
        <f t="shared" ref="C15:C17" si="4">C14*(1+$F$9)</f>
        <v>5821.961356400373</v>
      </c>
      <c r="D15" s="37">
        <f t="shared" si="0"/>
        <v>2351.3925457941291</v>
      </c>
      <c r="E15" s="111" t="s">
        <v>130</v>
      </c>
      <c r="F15" s="117">
        <f>('Cash Flow'!K12/'Cash Flow'!F12)^(1/5)-1</f>
        <v>0.15656235490334991</v>
      </c>
      <c r="H15" s="34">
        <v>8</v>
      </c>
      <c r="I15" s="15" t="s">
        <v>124</v>
      </c>
      <c r="J15" s="36">
        <f t="shared" ref="J15:J17" si="5">J14*(1+$M$9)</f>
        <v>8295.4848269303984</v>
      </c>
      <c r="K15" s="37">
        <f t="shared" si="1"/>
        <v>3350.4071895545276</v>
      </c>
    </row>
    <row r="16" spans="1:13" x14ac:dyDescent="0.25">
      <c r="A16" s="34">
        <v>9</v>
      </c>
      <c r="B16" s="15" t="s">
        <v>125</v>
      </c>
      <c r="C16" s="36">
        <f t="shared" si="4"/>
        <v>6113.0594242203915</v>
      </c>
      <c r="D16" s="37">
        <f t="shared" si="0"/>
        <v>2204.4305116819955</v>
      </c>
      <c r="H16" s="34">
        <v>9</v>
      </c>
      <c r="I16" s="15" t="s">
        <v>125</v>
      </c>
      <c r="J16" s="36">
        <f t="shared" si="5"/>
        <v>9125.033309623439</v>
      </c>
      <c r="K16" s="37">
        <f t="shared" si="1"/>
        <v>3290.578489741054</v>
      </c>
    </row>
    <row r="17" spans="1:11" x14ac:dyDescent="0.25">
      <c r="A17" s="34">
        <v>10</v>
      </c>
      <c r="B17" s="15" t="s">
        <v>126</v>
      </c>
      <c r="C17" s="36">
        <f t="shared" si="4"/>
        <v>6418.7123954314111</v>
      </c>
      <c r="D17" s="37">
        <f t="shared" si="0"/>
        <v>2066.6536047018708</v>
      </c>
      <c r="H17" s="34">
        <v>10</v>
      </c>
      <c r="I17" s="15" t="s">
        <v>126</v>
      </c>
      <c r="J17" s="36">
        <f t="shared" si="5"/>
        <v>10037.536640585784</v>
      </c>
      <c r="K17" s="37">
        <f t="shared" si="1"/>
        <v>3231.8181595671067</v>
      </c>
    </row>
    <row r="18" spans="1:11" ht="13" x14ac:dyDescent="0.3">
      <c r="A18" s="34">
        <v>10</v>
      </c>
      <c r="B18" s="15"/>
      <c r="C18" s="44">
        <f>C17*10</f>
        <v>64187.123954314113</v>
      </c>
      <c r="D18" s="37">
        <f t="shared" si="0"/>
        <v>20666.536047018708</v>
      </c>
      <c r="H18" s="34">
        <v>10</v>
      </c>
      <c r="I18" s="15"/>
      <c r="J18" s="43">
        <f>J17*15</f>
        <v>150563.04960878677</v>
      </c>
      <c r="K18" s="37">
        <f t="shared" si="1"/>
        <v>48477.272393506602</v>
      </c>
    </row>
    <row r="19" spans="1:11" x14ac:dyDescent="0.25">
      <c r="A19" s="441" t="s">
        <v>133</v>
      </c>
      <c r="B19" s="442"/>
      <c r="C19" s="443"/>
      <c r="D19" s="45">
        <f>SUM(D7:D18)</f>
        <v>50840.981864101661</v>
      </c>
      <c r="H19" s="441" t="s">
        <v>133</v>
      </c>
      <c r="I19" s="442"/>
      <c r="J19" s="443"/>
      <c r="K19" s="45">
        <f>SUM(K7:K18)</f>
        <v>85528.299941902194</v>
      </c>
    </row>
    <row r="20" spans="1:11" x14ac:dyDescent="0.25">
      <c r="A20" s="441" t="s">
        <v>127</v>
      </c>
      <c r="B20" s="442"/>
      <c r="C20" s="443"/>
      <c r="D20" s="46">
        <f>'Data Sheet'!B9</f>
        <v>54642.28</v>
      </c>
      <c r="H20" s="441" t="s">
        <v>127</v>
      </c>
      <c r="I20" s="442"/>
      <c r="J20" s="443"/>
      <c r="K20" s="46">
        <f>D20</f>
        <v>54642.28</v>
      </c>
    </row>
    <row r="21" spans="1:11" x14ac:dyDescent="0.25">
      <c r="A21" s="441" t="s">
        <v>128</v>
      </c>
      <c r="B21" s="442"/>
      <c r="C21" s="443"/>
      <c r="D21" s="38">
        <f>D20/D19-1</f>
        <v>7.4768385592143716E-2</v>
      </c>
      <c r="H21" s="441" t="s">
        <v>128</v>
      </c>
      <c r="I21" s="442"/>
      <c r="J21" s="443"/>
      <c r="K21" s="38">
        <f>K20/K19-1</f>
        <v>-0.36112047080185739</v>
      </c>
    </row>
    <row r="23" spans="1:11" ht="13" x14ac:dyDescent="0.3">
      <c r="A23" s="151" t="s">
        <v>185</v>
      </c>
    </row>
    <row r="24" spans="1:11" ht="13" thickBot="1" x14ac:dyDescent="0.3"/>
    <row r="25" spans="1:11" ht="13" customHeight="1" x14ac:dyDescent="0.25">
      <c r="A25" s="421" t="s">
        <v>272</v>
      </c>
      <c r="B25" s="444"/>
      <c r="C25" s="444"/>
      <c r="D25" s="444"/>
      <c r="E25" s="444"/>
      <c r="F25" s="444"/>
      <c r="G25" s="444"/>
      <c r="H25" s="444"/>
      <c r="I25" s="444"/>
      <c r="J25" s="444"/>
      <c r="K25" s="445"/>
    </row>
    <row r="26" spans="1:11" x14ac:dyDescent="0.25">
      <c r="A26" s="446"/>
      <c r="B26" s="447"/>
      <c r="C26" s="447"/>
      <c r="D26" s="447"/>
      <c r="E26" s="447"/>
      <c r="F26" s="447"/>
      <c r="G26" s="447"/>
      <c r="H26" s="447"/>
      <c r="I26" s="447"/>
      <c r="J26" s="447"/>
      <c r="K26" s="448"/>
    </row>
    <row r="27" spans="1:11" ht="13" thickBot="1" x14ac:dyDescent="0.3">
      <c r="A27" s="449"/>
      <c r="B27" s="450"/>
      <c r="C27" s="450"/>
      <c r="D27" s="450"/>
      <c r="E27" s="450"/>
      <c r="F27" s="450"/>
      <c r="G27" s="450"/>
      <c r="H27" s="450"/>
      <c r="I27" s="450"/>
      <c r="J27" s="450"/>
      <c r="K27" s="451"/>
    </row>
  </sheetData>
  <mergeCells count="18">
    <mergeCell ref="E12:F12"/>
    <mergeCell ref="A19:C19"/>
    <mergeCell ref="A20:C20"/>
    <mergeCell ref="A25:K27"/>
    <mergeCell ref="A21:C21"/>
    <mergeCell ref="H19:J19"/>
    <mergeCell ref="H20:J20"/>
    <mergeCell ref="H21:J21"/>
    <mergeCell ref="A1:M1"/>
    <mergeCell ref="A2:M2"/>
    <mergeCell ref="L6:M6"/>
    <mergeCell ref="E5:F5"/>
    <mergeCell ref="L5:M5"/>
    <mergeCell ref="A4:D4"/>
    <mergeCell ref="H4:K4"/>
    <mergeCell ref="A5:D5"/>
    <mergeCell ref="H5:K5"/>
    <mergeCell ref="E6:F6"/>
  </mergeCells>
  <hyperlinks>
    <hyperlink ref="A23" r:id="rId1" display="Note: See the explanation of this model here" xr:uid="{3A1B8835-469E-42AF-AD6D-C9D8252FF3E9}"/>
    <hyperlink ref="A2:M2" r:id="rId2" display="Read the book - The Dhandho Investor by Mohnish Pabrai" xr:uid="{E154C3A4-29CB-44BF-B3CB-B131F029EEEA}"/>
  </hyperlinks>
  <pageMargins left="0.7" right="0.7" top="0.75" bottom="0.75" header="0.3" footer="0.3"/>
  <pageSetup orientation="portrait"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DFBE-87D7-4EDE-A582-1B7206ED356B}">
  <dimension ref="A1:I20"/>
  <sheetViews>
    <sheetView workbookViewId="0">
      <selection activeCell="B8" sqref="B8"/>
    </sheetView>
  </sheetViews>
  <sheetFormatPr defaultRowHeight="12.5" x14ac:dyDescent="0.25"/>
  <cols>
    <col min="1" max="1" width="26.36328125" style="8" bestFit="1" customWidth="1"/>
    <col min="2" max="2" width="21.36328125" style="8" bestFit="1" customWidth="1"/>
    <col min="3" max="3" width="8.7265625" style="8"/>
    <col min="4" max="4" width="26.1796875" style="8" bestFit="1" customWidth="1"/>
    <col min="5" max="5" width="21.36328125" style="8" bestFit="1" customWidth="1"/>
    <col min="6" max="6" width="8.7265625" style="8"/>
    <col min="7" max="8" width="4.81640625" style="8" bestFit="1" customWidth="1"/>
    <col min="9" max="9" width="26.36328125" style="8" bestFit="1" customWidth="1"/>
    <col min="10" max="10" width="8.7265625" style="8"/>
    <col min="11" max="11" width="6.90625" style="8" bestFit="1" customWidth="1"/>
    <col min="12" max="16384" width="8.7265625" style="8"/>
  </cols>
  <sheetData>
    <row r="1" spans="1:9" ht="19.5" thickBot="1" x14ac:dyDescent="0.45">
      <c r="A1" s="452" t="s">
        <v>262</v>
      </c>
      <c r="B1" s="453"/>
      <c r="D1" s="452" t="s">
        <v>263</v>
      </c>
      <c r="E1" s="453"/>
    </row>
    <row r="3" spans="1:9" x14ac:dyDescent="0.25">
      <c r="A3" s="15" t="s">
        <v>89</v>
      </c>
      <c r="B3" s="16" t="str">
        <f>'Profit &amp; Loss'!A2</f>
        <v>HERO MOTOCORP LTD</v>
      </c>
      <c r="D3" s="15" t="s">
        <v>89</v>
      </c>
      <c r="E3" s="16" t="str">
        <f>B3</f>
        <v>HERO MOTOCORP LTD</v>
      </c>
    </row>
    <row r="4" spans="1:9" x14ac:dyDescent="0.25">
      <c r="A4" s="15" t="s">
        <v>88</v>
      </c>
      <c r="B4" s="17">
        <f>'Profit &amp; Loss'!K3</f>
        <v>43190</v>
      </c>
      <c r="D4" s="15" t="s">
        <v>88</v>
      </c>
      <c r="E4" s="17">
        <f>B4</f>
        <v>43190</v>
      </c>
    </row>
    <row r="5" spans="1:9" x14ac:dyDescent="0.25">
      <c r="B5" s="18"/>
      <c r="E5" s="18"/>
    </row>
    <row r="6" spans="1:9" x14ac:dyDescent="0.25">
      <c r="A6" s="15" t="s">
        <v>108</v>
      </c>
      <c r="B6" s="19">
        <f>AVERAGE('Profit &amp; Loss'!G23:K23)</f>
        <v>2945.8780000000006</v>
      </c>
      <c r="D6" s="15" t="s">
        <v>108</v>
      </c>
      <c r="E6" s="19">
        <f>B6</f>
        <v>2945.8780000000006</v>
      </c>
    </row>
    <row r="7" spans="1:9" x14ac:dyDescent="0.25">
      <c r="A7" s="15" t="s">
        <v>87</v>
      </c>
      <c r="B7" s="19">
        <v>8.5</v>
      </c>
      <c r="D7" s="15" t="s">
        <v>87</v>
      </c>
      <c r="E7" s="19">
        <f>B7</f>
        <v>8.5</v>
      </c>
    </row>
    <row r="8" spans="1:9" x14ac:dyDescent="0.25">
      <c r="A8" s="15" t="s">
        <v>105</v>
      </c>
      <c r="B8" s="32">
        <f>(('Profit &amp; Loss'!K23/'Profit &amp; Loss'!F23)^(1/5)-1)*100*50%</f>
        <v>5.8928943375446412</v>
      </c>
      <c r="D8" s="15" t="s">
        <v>105</v>
      </c>
      <c r="E8" s="32">
        <f>(('Profit &amp; Loss'!K23/'Profit &amp; Loss'!F23)^(1/5)-1)*100</f>
        <v>11.785788675089282</v>
      </c>
    </row>
    <row r="9" spans="1:9" x14ac:dyDescent="0.25">
      <c r="B9" s="22"/>
      <c r="E9" s="22"/>
      <c r="H9" s="23"/>
      <c r="I9" s="21"/>
    </row>
    <row r="10" spans="1:9" x14ac:dyDescent="0.25">
      <c r="A10" s="15" t="s">
        <v>107</v>
      </c>
      <c r="B10" s="31">
        <f>B6*(B7+2*B8)</f>
        <v>59759.458570594681</v>
      </c>
      <c r="D10" s="15" t="s">
        <v>107</v>
      </c>
      <c r="E10" s="31">
        <f>E6*(E7+2*E8)</f>
        <v>94478.954141189344</v>
      </c>
    </row>
    <row r="11" spans="1:9" x14ac:dyDescent="0.25">
      <c r="A11" s="15" t="s">
        <v>106</v>
      </c>
      <c r="B11" s="31">
        <f>'Data Sheet'!B9</f>
        <v>54642.28</v>
      </c>
      <c r="D11" s="15" t="s">
        <v>106</v>
      </c>
      <c r="E11" s="31">
        <f>B11</f>
        <v>54642.28</v>
      </c>
      <c r="F11" s="23"/>
    </row>
    <row r="12" spans="1:9" x14ac:dyDescent="0.25">
      <c r="B12" s="22"/>
    </row>
    <row r="13" spans="1:9" ht="13" x14ac:dyDescent="0.3">
      <c r="A13" s="54" t="s">
        <v>261</v>
      </c>
      <c r="B13" s="22"/>
    </row>
    <row r="14" spans="1:9" ht="13" x14ac:dyDescent="0.3">
      <c r="A14" s="20" t="s">
        <v>231</v>
      </c>
    </row>
    <row r="15" spans="1:9" ht="13" x14ac:dyDescent="0.3">
      <c r="A15" s="138" t="s">
        <v>232</v>
      </c>
    </row>
    <row r="17" spans="1:1" ht="13" x14ac:dyDescent="0.3">
      <c r="A17" s="20" t="s">
        <v>233</v>
      </c>
    </row>
    <row r="18" spans="1:1" ht="13" x14ac:dyDescent="0.3">
      <c r="A18" s="138" t="s">
        <v>234</v>
      </c>
    </row>
    <row r="20" spans="1:1" ht="13" x14ac:dyDescent="0.3">
      <c r="A20" s="20" t="s">
        <v>235</v>
      </c>
    </row>
  </sheetData>
  <mergeCells count="2">
    <mergeCell ref="A1:B1"/>
    <mergeCell ref="D1:E1"/>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8D-1BA5-4829-B6F3-908F22FF23F9}">
  <dimension ref="A1:F32"/>
  <sheetViews>
    <sheetView workbookViewId="0">
      <selection activeCell="G17" sqref="G17"/>
    </sheetView>
  </sheetViews>
  <sheetFormatPr defaultColWidth="12.81640625" defaultRowHeight="12.5" x14ac:dyDescent="0.25"/>
  <cols>
    <col min="1" max="1" width="32.453125" style="8" bestFit="1" customWidth="1"/>
    <col min="2" max="2" width="7.6328125" style="8" bestFit="1" customWidth="1"/>
    <col min="3" max="3" width="7.1796875" style="8" bestFit="1" customWidth="1"/>
    <col min="4" max="4" width="12.7265625" style="8" bestFit="1" customWidth="1"/>
    <col min="5" max="5" width="7.6328125" style="8" bestFit="1" customWidth="1"/>
    <col min="6" max="6" width="33.453125" style="8" bestFit="1" customWidth="1"/>
    <col min="7" max="9" width="12.81640625" style="8"/>
    <col min="10" max="10" width="12.81640625" style="8" customWidth="1"/>
    <col min="11" max="16384" width="12.81640625" style="8"/>
  </cols>
  <sheetData>
    <row r="1" spans="1:6" ht="19" x14ac:dyDescent="0.4">
      <c r="A1" s="456" t="s">
        <v>161</v>
      </c>
      <c r="B1" s="457"/>
      <c r="C1" s="457"/>
      <c r="D1" s="457"/>
      <c r="E1" s="457"/>
      <c r="F1" s="458"/>
    </row>
    <row r="2" spans="1:6" ht="13.5" thickBot="1" x14ac:dyDescent="0.3">
      <c r="A2" s="459" t="str">
        <f>'Data Sheet'!B1</f>
        <v>HERO MOTOCORP LTD</v>
      </c>
      <c r="B2" s="460"/>
      <c r="C2" s="460"/>
      <c r="D2" s="460"/>
      <c r="E2" s="460"/>
      <c r="F2" s="461"/>
    </row>
    <row r="3" spans="1:6" ht="13.5" thickBot="1" x14ac:dyDescent="0.35">
      <c r="A3" s="47"/>
      <c r="B3" s="47"/>
      <c r="C3" s="47"/>
    </row>
    <row r="4" spans="1:6" ht="13.5" thickBot="1" x14ac:dyDescent="0.35">
      <c r="A4" s="8" t="s">
        <v>162</v>
      </c>
      <c r="B4" s="48">
        <f>'Cash Flow'!B13</f>
        <v>2608.67</v>
      </c>
      <c r="E4" s="122">
        <f>B29</f>
        <v>59384.174651264097</v>
      </c>
      <c r="F4" s="112" t="s">
        <v>165</v>
      </c>
    </row>
    <row r="5" spans="1:6" ht="13.5" thickBot="1" x14ac:dyDescent="0.35">
      <c r="E5" s="123">
        <f>'Data Sheet'!B9</f>
        <v>54642.28</v>
      </c>
      <c r="F5" s="112" t="s">
        <v>160</v>
      </c>
    </row>
    <row r="6" spans="1:6" ht="13.5" thickBot="1" x14ac:dyDescent="0.35">
      <c r="A6" s="49" t="s">
        <v>136</v>
      </c>
      <c r="B6" s="50" t="s">
        <v>137</v>
      </c>
      <c r="C6" s="51" t="s">
        <v>138</v>
      </c>
      <c r="D6" s="52"/>
      <c r="E6" s="114">
        <f>E4/E5</f>
        <v>1.08678068798125</v>
      </c>
      <c r="F6" s="112" t="s">
        <v>268</v>
      </c>
    </row>
    <row r="7" spans="1:6" ht="13.5" thickBot="1" x14ac:dyDescent="0.35">
      <c r="A7" s="8" t="s">
        <v>139</v>
      </c>
      <c r="B7" s="107">
        <v>0.15</v>
      </c>
      <c r="C7" s="108">
        <v>0.12</v>
      </c>
      <c r="D7" s="53"/>
    </row>
    <row r="8" spans="1:6" ht="13.5" thickBot="1" x14ac:dyDescent="0.35">
      <c r="A8" s="8" t="s">
        <v>120</v>
      </c>
      <c r="B8" s="109">
        <v>0.12</v>
      </c>
      <c r="C8" s="54"/>
    </row>
    <row r="9" spans="1:6" ht="13.5" thickBot="1" x14ac:dyDescent="0.35">
      <c r="A9" s="8" t="s">
        <v>140</v>
      </c>
      <c r="B9" s="110">
        <v>0.02</v>
      </c>
      <c r="C9" s="54"/>
      <c r="F9" s="55"/>
    </row>
    <row r="10" spans="1:6" ht="13.5" thickBot="1" x14ac:dyDescent="0.35">
      <c r="B10" s="56"/>
      <c r="C10" s="54"/>
      <c r="F10" s="55"/>
    </row>
    <row r="11" spans="1:6" ht="13.5" thickBot="1" x14ac:dyDescent="0.35">
      <c r="A11" s="57" t="s">
        <v>163</v>
      </c>
      <c r="B11" s="48">
        <f>'Balance Sheet'!K6-'Balance Sheet'!K19</f>
        <v>-4618.1200000000008</v>
      </c>
      <c r="C11" s="54"/>
      <c r="D11" s="21"/>
    </row>
    <row r="12" spans="1:6" ht="13" thickBot="1" x14ac:dyDescent="0.3"/>
    <row r="13" spans="1:6" ht="13" x14ac:dyDescent="0.3">
      <c r="A13" s="58" t="s">
        <v>109</v>
      </c>
      <c r="B13" s="59" t="s">
        <v>130</v>
      </c>
      <c r="C13" s="59" t="s">
        <v>141</v>
      </c>
      <c r="D13" s="60" t="s">
        <v>142</v>
      </c>
    </row>
    <row r="14" spans="1:6" x14ac:dyDescent="0.25">
      <c r="A14" s="61">
        <v>1</v>
      </c>
      <c r="B14" s="62">
        <f>(B4*C14)+B4</f>
        <v>2999.9704999999999</v>
      </c>
      <c r="C14" s="63">
        <f>$B$7</f>
        <v>0.15</v>
      </c>
      <c r="D14" s="64">
        <f t="shared" ref="D14:D23" si="0">B14/((1+$B$8)^A14)</f>
        <v>2678.5450892857139</v>
      </c>
    </row>
    <row r="15" spans="1:6" x14ac:dyDescent="0.25">
      <c r="A15" s="61">
        <v>2</v>
      </c>
      <c r="B15" s="62">
        <f t="shared" ref="B15:B23" si="1">(B14*C15)+B14</f>
        <v>3449.9660749999998</v>
      </c>
      <c r="C15" s="63">
        <f>$B$7</f>
        <v>0.15</v>
      </c>
      <c r="D15" s="64">
        <f t="shared" si="0"/>
        <v>2750.2918327487241</v>
      </c>
    </row>
    <row r="16" spans="1:6" x14ac:dyDescent="0.25">
      <c r="A16" s="61">
        <v>3</v>
      </c>
      <c r="B16" s="62">
        <f t="shared" si="1"/>
        <v>3967.4609862499997</v>
      </c>
      <c r="C16" s="63">
        <f>$B$7</f>
        <v>0.15</v>
      </c>
      <c r="D16" s="64">
        <f t="shared" si="0"/>
        <v>2823.9603639830643</v>
      </c>
      <c r="F16" s="65"/>
    </row>
    <row r="17" spans="1:6" x14ac:dyDescent="0.25">
      <c r="A17" s="61">
        <v>4</v>
      </c>
      <c r="B17" s="62">
        <f t="shared" si="1"/>
        <v>4562.5801341874994</v>
      </c>
      <c r="C17" s="63">
        <f>$B$7</f>
        <v>0.15</v>
      </c>
      <c r="D17" s="64">
        <f t="shared" si="0"/>
        <v>2899.6021594468962</v>
      </c>
      <c r="F17" s="55"/>
    </row>
    <row r="18" spans="1:6" x14ac:dyDescent="0.25">
      <c r="A18" s="61">
        <v>5</v>
      </c>
      <c r="B18" s="62">
        <f t="shared" si="1"/>
        <v>5246.9671543156246</v>
      </c>
      <c r="C18" s="63">
        <f>$B$7</f>
        <v>0.15</v>
      </c>
      <c r="D18" s="64">
        <f t="shared" si="0"/>
        <v>2977.2700744320809</v>
      </c>
      <c r="F18" s="55"/>
    </row>
    <row r="19" spans="1:6" x14ac:dyDescent="0.25">
      <c r="A19" s="61">
        <v>6</v>
      </c>
      <c r="B19" s="62">
        <f t="shared" si="1"/>
        <v>5876.6032128334991</v>
      </c>
      <c r="C19" s="63">
        <f>$C$7</f>
        <v>0.12</v>
      </c>
      <c r="D19" s="64">
        <f t="shared" si="0"/>
        <v>2977.2700744320805</v>
      </c>
      <c r="F19" s="55"/>
    </row>
    <row r="20" spans="1:6" x14ac:dyDescent="0.25">
      <c r="A20" s="61">
        <v>7</v>
      </c>
      <c r="B20" s="62">
        <f t="shared" si="1"/>
        <v>6581.7955983735192</v>
      </c>
      <c r="C20" s="63">
        <f>$C$7</f>
        <v>0.12</v>
      </c>
      <c r="D20" s="64">
        <f t="shared" si="0"/>
        <v>2977.2700744320805</v>
      </c>
      <c r="F20" s="55"/>
    </row>
    <row r="21" spans="1:6" x14ac:dyDescent="0.25">
      <c r="A21" s="61">
        <v>8</v>
      </c>
      <c r="B21" s="62">
        <f t="shared" si="1"/>
        <v>7371.6110701783418</v>
      </c>
      <c r="C21" s="63">
        <f>$C$7</f>
        <v>0.12</v>
      </c>
      <c r="D21" s="64">
        <f t="shared" si="0"/>
        <v>2977.2700744320805</v>
      </c>
    </row>
    <row r="22" spans="1:6" x14ac:dyDescent="0.25">
      <c r="A22" s="61">
        <v>9</v>
      </c>
      <c r="B22" s="62">
        <f t="shared" si="1"/>
        <v>8256.2043985997425</v>
      </c>
      <c r="C22" s="63">
        <f>$C$7</f>
        <v>0.12</v>
      </c>
      <c r="D22" s="64">
        <f t="shared" si="0"/>
        <v>2977.27007443208</v>
      </c>
    </row>
    <row r="23" spans="1:6" ht="13" thickBot="1" x14ac:dyDescent="0.3">
      <c r="A23" s="66">
        <v>10</v>
      </c>
      <c r="B23" s="67">
        <f t="shared" si="1"/>
        <v>9246.9489264317108</v>
      </c>
      <c r="C23" s="68">
        <f>$C$7</f>
        <v>0.12</v>
      </c>
      <c r="D23" s="69">
        <f t="shared" si="0"/>
        <v>2977.2700744320796</v>
      </c>
    </row>
    <row r="24" spans="1:6" ht="13" thickBot="1" x14ac:dyDescent="0.3">
      <c r="A24" s="70"/>
      <c r="B24" s="71"/>
      <c r="C24" s="72"/>
      <c r="D24" s="73"/>
    </row>
    <row r="25" spans="1:6" ht="13" x14ac:dyDescent="0.3">
      <c r="A25" s="454" t="s">
        <v>143</v>
      </c>
      <c r="B25" s="455"/>
      <c r="C25" s="72"/>
      <c r="D25" s="73"/>
    </row>
    <row r="26" spans="1:6" x14ac:dyDescent="0.25">
      <c r="A26" s="74" t="s">
        <v>144</v>
      </c>
      <c r="B26" s="64">
        <f>(B23*B9)+B23</f>
        <v>9431.8879049603456</v>
      </c>
      <c r="C26" s="75"/>
      <c r="D26" s="76"/>
    </row>
    <row r="27" spans="1:6" x14ac:dyDescent="0.25">
      <c r="A27" s="77" t="s">
        <v>145</v>
      </c>
      <c r="B27" s="64">
        <f>SUM(D14:D23)</f>
        <v>29016.019892056876</v>
      </c>
      <c r="C27" s="57"/>
    </row>
    <row r="28" spans="1:6" x14ac:dyDescent="0.25">
      <c r="A28" s="74" t="s">
        <v>146</v>
      </c>
      <c r="B28" s="64">
        <f>((B26)/($B$8-$B$9))/(1+$B$8)^A23</f>
        <v>30368.154759207217</v>
      </c>
      <c r="C28" s="57"/>
    </row>
    <row r="29" spans="1:6" x14ac:dyDescent="0.25">
      <c r="A29" s="74" t="s">
        <v>147</v>
      </c>
      <c r="B29" s="64">
        <f>B27+B28</f>
        <v>59384.174651264097</v>
      </c>
      <c r="C29" s="57"/>
    </row>
    <row r="30" spans="1:6" x14ac:dyDescent="0.25">
      <c r="A30" s="74" t="s">
        <v>157</v>
      </c>
      <c r="B30" s="64">
        <f>'Data Sheet'!B9</f>
        <v>54642.28</v>
      </c>
      <c r="C30" s="57"/>
    </row>
    <row r="32" spans="1:6" ht="13" x14ac:dyDescent="0.3">
      <c r="A32" s="152" t="s">
        <v>236</v>
      </c>
      <c r="D32" s="21"/>
    </row>
  </sheetData>
  <mergeCells count="3">
    <mergeCell ref="A25:B25"/>
    <mergeCell ref="A1:F1"/>
    <mergeCell ref="A2:F2"/>
  </mergeCells>
  <hyperlinks>
    <hyperlink ref="A32" r:id="rId1" display="Note: See the explanation of DCF here" xr:uid="{91503647-C77F-463A-9B2F-E18BF48EAA17}"/>
  </hyperlinks>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E50A-9683-4BE8-9E21-BF16FCEC8D13}">
  <dimension ref="A1:M18"/>
  <sheetViews>
    <sheetView workbookViewId="0">
      <selection activeCell="L4" sqref="L4"/>
    </sheetView>
  </sheetViews>
  <sheetFormatPr defaultColWidth="9.1796875" defaultRowHeight="13" x14ac:dyDescent="0.3"/>
  <cols>
    <col min="1" max="1" width="40.453125" style="93" bestFit="1" customWidth="1"/>
    <col min="2" max="2" width="8.6328125" style="93" bestFit="1" customWidth="1"/>
    <col min="3" max="11" width="6.7265625" style="93" bestFit="1" customWidth="1"/>
    <col min="12" max="13" width="11.36328125" style="93" bestFit="1" customWidth="1"/>
    <col min="14" max="16384" width="9.1796875" style="93"/>
  </cols>
  <sheetData>
    <row r="1" spans="1:13" ht="19" x14ac:dyDescent="0.4">
      <c r="A1" s="462" t="s">
        <v>166</v>
      </c>
      <c r="B1" s="463"/>
      <c r="C1" s="463"/>
      <c r="D1" s="463"/>
      <c r="E1" s="463"/>
      <c r="F1" s="463"/>
      <c r="G1" s="463"/>
      <c r="H1" s="463"/>
      <c r="I1" s="463"/>
      <c r="J1" s="463"/>
      <c r="K1" s="463"/>
      <c r="L1" s="463"/>
      <c r="M1" s="464"/>
    </row>
    <row r="2" spans="1:13" x14ac:dyDescent="0.3">
      <c r="A2" s="465" t="str">
        <f>'Data Sheet'!B1</f>
        <v>HERO MOTOCORP LTD</v>
      </c>
      <c r="B2" s="466"/>
      <c r="C2" s="466"/>
      <c r="D2" s="466"/>
      <c r="E2" s="466"/>
      <c r="F2" s="466"/>
      <c r="G2" s="466"/>
      <c r="H2" s="466"/>
      <c r="I2" s="466"/>
      <c r="J2" s="466"/>
      <c r="K2" s="466"/>
      <c r="L2" s="466"/>
      <c r="M2" s="467"/>
    </row>
    <row r="3" spans="1:13" x14ac:dyDescent="0.3">
      <c r="A3" s="78" t="s">
        <v>148</v>
      </c>
      <c r="B3" s="79">
        <f>'Data Sheet'!B16</f>
        <v>39903</v>
      </c>
      <c r="C3" s="79">
        <f>'Data Sheet'!C16</f>
        <v>40268</v>
      </c>
      <c r="D3" s="79">
        <f>'Data Sheet'!D16</f>
        <v>40633</v>
      </c>
      <c r="E3" s="79">
        <f>'Data Sheet'!E16</f>
        <v>40999</v>
      </c>
      <c r="F3" s="79">
        <f>'Data Sheet'!F16</f>
        <v>41364</v>
      </c>
      <c r="G3" s="79">
        <f>'Data Sheet'!G16</f>
        <v>41729</v>
      </c>
      <c r="H3" s="79">
        <f>'Data Sheet'!H16</f>
        <v>42094</v>
      </c>
      <c r="I3" s="79">
        <f>'Data Sheet'!I16</f>
        <v>42460</v>
      </c>
      <c r="J3" s="79">
        <f>'Data Sheet'!J16</f>
        <v>42825</v>
      </c>
      <c r="K3" s="79">
        <f>'Data Sheet'!K16</f>
        <v>43190</v>
      </c>
      <c r="L3" s="94" t="s">
        <v>152</v>
      </c>
      <c r="M3" s="95" t="s">
        <v>149</v>
      </c>
    </row>
    <row r="4" spans="1:13" x14ac:dyDescent="0.3">
      <c r="A4" s="80" t="s">
        <v>155</v>
      </c>
      <c r="B4" s="96">
        <f>'Data Sheet'!B30</f>
        <v>1281.76</v>
      </c>
      <c r="C4" s="96">
        <f>'Data Sheet'!C30</f>
        <v>2231.83</v>
      </c>
      <c r="D4" s="96">
        <f>'Data Sheet'!D30</f>
        <v>1927.9</v>
      </c>
      <c r="E4" s="96">
        <f>'Data Sheet'!E30</f>
        <v>2378.13</v>
      </c>
      <c r="F4" s="96">
        <f>'Data Sheet'!F30</f>
        <v>2118.16</v>
      </c>
      <c r="G4" s="96">
        <f>'Data Sheet'!G30</f>
        <v>2109.08</v>
      </c>
      <c r="H4" s="96">
        <f>'Data Sheet'!H30</f>
        <v>2385.64</v>
      </c>
      <c r="I4" s="96">
        <f>'Data Sheet'!I30</f>
        <v>3160.19</v>
      </c>
      <c r="J4" s="96">
        <f>'Data Sheet'!J30</f>
        <v>3377.12</v>
      </c>
      <c r="K4" s="96">
        <f>'Data Sheet'!K30</f>
        <v>3697.36</v>
      </c>
      <c r="L4" s="98">
        <f>(K4/B4)^(1/9)-1</f>
        <v>0.12491720268107076</v>
      </c>
      <c r="M4" s="99">
        <f>(K4/F4)^(1/5)-1</f>
        <v>0.11785788675089326</v>
      </c>
    </row>
    <row r="5" spans="1:13" x14ac:dyDescent="0.3">
      <c r="A5" s="81" t="s">
        <v>91</v>
      </c>
      <c r="B5" s="82">
        <f>B4/'Data Sheet'!B17</f>
        <v>0.10404639292416989</v>
      </c>
      <c r="C5" s="82">
        <f>C4/'Data Sheet'!C17</f>
        <v>0.14162993442136085</v>
      </c>
      <c r="D5" s="82">
        <f>D4/'Data Sheet'!D17</f>
        <v>9.9386893343774318E-2</v>
      </c>
      <c r="E5" s="82">
        <f>E4/'Data Sheet'!E17</f>
        <v>0.10085783851159273</v>
      </c>
      <c r="F5" s="82">
        <f>F4/'Data Sheet'!F17</f>
        <v>8.911772959650556E-2</v>
      </c>
      <c r="G5" s="82">
        <f>G4/'Data Sheet'!G17</f>
        <v>8.3443750007418258E-2</v>
      </c>
      <c r="H5" s="82">
        <f>H4/'Data Sheet'!H17</f>
        <v>8.6482293105385841E-2</v>
      </c>
      <c r="I5" s="82">
        <f>I4/'Data Sheet'!I17</f>
        <v>0.1111072436864292</v>
      </c>
      <c r="J5" s="82">
        <f>J4/'Data Sheet'!J17</f>
        <v>0.11849352606940379</v>
      </c>
      <c r="K5" s="82">
        <f>K4/'Data Sheet'!K17</f>
        <v>0.11471622057250758</v>
      </c>
      <c r="L5" s="100"/>
      <c r="M5" s="101"/>
    </row>
    <row r="6" spans="1:13" ht="13.5" thickBot="1" x14ac:dyDescent="0.35">
      <c r="A6" s="83" t="s">
        <v>55</v>
      </c>
      <c r="B6" s="84">
        <f>'Balance Sheet'!B26</f>
        <v>0.33723870288758806</v>
      </c>
      <c r="C6" s="84">
        <f>'Balance Sheet'!C26</f>
        <v>0.64410306434017739</v>
      </c>
      <c r="D6" s="84">
        <f>'Balance Sheet'!D26</f>
        <v>0.65218567958701856</v>
      </c>
      <c r="E6" s="84">
        <f>'Balance Sheet'!E26</f>
        <v>0.55436462517162666</v>
      </c>
      <c r="F6" s="84">
        <f>'Balance Sheet'!F26</f>
        <v>0.42310396625012059</v>
      </c>
      <c r="G6" s="84">
        <f>'Balance Sheet'!G26</f>
        <v>0.37663017177184493</v>
      </c>
      <c r="H6" s="84">
        <f>'Balance Sheet'!H26</f>
        <v>0.36470259106328456</v>
      </c>
      <c r="I6" s="84">
        <f>'Balance Sheet'!I26</f>
        <v>0.35771375790799842</v>
      </c>
      <c r="J6" s="84">
        <f>'Balance Sheet'!J26</f>
        <v>0.33399496997910305</v>
      </c>
      <c r="K6" s="84">
        <f>'Balance Sheet'!K26</f>
        <v>0.31416413456505643</v>
      </c>
      <c r="L6" s="102"/>
      <c r="M6" s="103"/>
    </row>
    <row r="7" spans="1:13" x14ac:dyDescent="0.3">
      <c r="A7" s="85"/>
      <c r="B7" s="86"/>
      <c r="C7" s="86"/>
      <c r="D7" s="86"/>
      <c r="E7" s="86"/>
      <c r="F7" s="86"/>
      <c r="G7" s="86"/>
      <c r="H7" s="86"/>
      <c r="I7" s="86"/>
      <c r="J7" s="86"/>
      <c r="K7" s="86"/>
      <c r="L7" s="86"/>
      <c r="M7" s="86"/>
    </row>
    <row r="8" spans="1:13" ht="13.5" thickBot="1" x14ac:dyDescent="0.35">
      <c r="A8" s="20" t="s">
        <v>159</v>
      </c>
      <c r="B8" s="87"/>
      <c r="C8" s="87"/>
      <c r="D8" s="87"/>
      <c r="E8" s="87"/>
      <c r="F8" s="87"/>
      <c r="G8" s="87"/>
      <c r="H8" s="87"/>
      <c r="I8" s="87"/>
      <c r="J8" s="87"/>
      <c r="K8" s="87"/>
      <c r="L8" s="88"/>
      <c r="M8" s="88"/>
    </row>
    <row r="9" spans="1:13" x14ac:dyDescent="0.3">
      <c r="A9" s="89" t="s">
        <v>153</v>
      </c>
      <c r="B9" s="105">
        <v>0.12</v>
      </c>
      <c r="C9" s="8"/>
      <c r="D9" s="8"/>
      <c r="E9" s="8"/>
      <c r="F9" s="8"/>
      <c r="G9" s="8"/>
      <c r="H9" s="8"/>
      <c r="I9" s="8"/>
      <c r="J9" s="8"/>
      <c r="K9" s="8"/>
      <c r="L9" s="8"/>
      <c r="M9" s="8"/>
    </row>
    <row r="10" spans="1:13" x14ac:dyDescent="0.3">
      <c r="A10" s="90" t="s">
        <v>154</v>
      </c>
      <c r="B10" s="91">
        <f>K4*(1+B9)^10</f>
        <v>11483.438931603552</v>
      </c>
      <c r="C10" s="92"/>
      <c r="D10" s="8"/>
      <c r="E10" s="8"/>
      <c r="F10" s="8"/>
      <c r="G10" s="8"/>
      <c r="H10" s="8"/>
      <c r="I10" s="8"/>
      <c r="J10" s="8"/>
      <c r="K10" s="8"/>
      <c r="L10" s="8"/>
      <c r="M10" s="8"/>
    </row>
    <row r="11" spans="1:13" x14ac:dyDescent="0.3">
      <c r="A11" s="90" t="s">
        <v>150</v>
      </c>
      <c r="B11" s="104">
        <f>'Data Sheet'!B9/'Data Sheet'!K30</f>
        <v>14.778728606356967</v>
      </c>
      <c r="C11" s="8"/>
      <c r="D11" s="8"/>
      <c r="E11" s="8"/>
      <c r="F11" s="8"/>
      <c r="G11" s="8"/>
      <c r="H11" s="8"/>
      <c r="I11" s="8"/>
      <c r="J11" s="8"/>
      <c r="K11" s="8"/>
      <c r="L11" s="8"/>
      <c r="M11" s="8"/>
    </row>
    <row r="12" spans="1:13" x14ac:dyDescent="0.3">
      <c r="A12" s="90" t="s">
        <v>151</v>
      </c>
      <c r="B12" s="106">
        <v>20</v>
      </c>
      <c r="C12" s="8"/>
      <c r="D12" s="8"/>
      <c r="E12" s="8"/>
      <c r="F12" s="8"/>
      <c r="G12" s="8"/>
      <c r="H12" s="8"/>
      <c r="I12" s="8"/>
      <c r="J12" s="8"/>
      <c r="K12" s="8"/>
      <c r="L12" s="8"/>
      <c r="M12" s="8"/>
    </row>
    <row r="13" spans="1:13" x14ac:dyDescent="0.3">
      <c r="A13" s="90" t="s">
        <v>156</v>
      </c>
      <c r="B13" s="91">
        <f>B10*B12</f>
        <v>229668.77863207104</v>
      </c>
      <c r="C13" s="8"/>
      <c r="D13" s="8"/>
      <c r="E13" s="8"/>
      <c r="F13" s="8"/>
      <c r="G13" s="8"/>
      <c r="H13" s="8"/>
      <c r="I13" s="8"/>
      <c r="J13" s="8"/>
      <c r="K13" s="8"/>
      <c r="L13" s="8"/>
      <c r="M13" s="8"/>
    </row>
    <row r="14" spans="1:13" x14ac:dyDescent="0.3">
      <c r="A14" s="90" t="s">
        <v>178</v>
      </c>
      <c r="B14" s="97">
        <f>DCF!B8</f>
        <v>0.12</v>
      </c>
      <c r="C14" s="8"/>
      <c r="D14" s="8"/>
      <c r="E14" s="8"/>
      <c r="F14" s="8"/>
      <c r="G14" s="8"/>
      <c r="H14" s="8"/>
      <c r="I14" s="8"/>
      <c r="J14" s="8"/>
      <c r="K14" s="8"/>
      <c r="L14" s="8"/>
      <c r="M14" s="8"/>
    </row>
    <row r="15" spans="1:13" x14ac:dyDescent="0.3">
      <c r="A15" s="90" t="s">
        <v>158</v>
      </c>
      <c r="B15" s="124">
        <f>B13/(1+B14)^10</f>
        <v>73947.199999999997</v>
      </c>
      <c r="C15" s="8"/>
      <c r="D15" s="8"/>
      <c r="E15" s="8"/>
      <c r="F15" s="8"/>
      <c r="G15" s="8"/>
      <c r="H15" s="8"/>
      <c r="I15" s="8"/>
      <c r="J15" s="8"/>
      <c r="K15" s="8"/>
      <c r="L15" s="8"/>
      <c r="M15" s="8"/>
    </row>
    <row r="16" spans="1:13" x14ac:dyDescent="0.3">
      <c r="A16" s="90" t="s">
        <v>157</v>
      </c>
      <c r="B16" s="124">
        <f>'Data Sheet'!B9</f>
        <v>54642.28</v>
      </c>
      <c r="C16" s="8"/>
      <c r="D16" s="8"/>
      <c r="E16" s="8"/>
      <c r="F16" s="8"/>
      <c r="G16" s="8"/>
      <c r="H16" s="8"/>
      <c r="I16" s="8"/>
      <c r="J16" s="8"/>
      <c r="K16" s="8"/>
      <c r="L16" s="8"/>
      <c r="M16" s="8"/>
    </row>
    <row r="17" spans="1:13" x14ac:dyDescent="0.3">
      <c r="A17" s="8"/>
      <c r="B17" s="8"/>
      <c r="C17" s="8"/>
      <c r="D17" s="8"/>
      <c r="E17" s="8"/>
      <c r="F17" s="8"/>
      <c r="G17" s="8"/>
      <c r="H17" s="8"/>
      <c r="I17" s="8"/>
      <c r="J17" s="8"/>
      <c r="K17" s="8"/>
      <c r="L17" s="8"/>
      <c r="M17" s="8"/>
    </row>
    <row r="18" spans="1:13" x14ac:dyDescent="0.3">
      <c r="A18" s="151" t="s">
        <v>237</v>
      </c>
    </row>
  </sheetData>
  <mergeCells count="2">
    <mergeCell ref="A1:M1"/>
    <mergeCell ref="A2:M2"/>
  </mergeCells>
  <hyperlinks>
    <hyperlink ref="A18" r:id="rId1" display="See the explanation of this model here" xr:uid="{0C82AB57-CC6D-432D-ACCA-FA9353EEAB84}"/>
  </hyperlinks>
  <pageMargins left="0.7" right="0.7" top="0.75" bottom="0.75" header="0.3" footer="0.3"/>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FDF3-13FA-4D4B-9E56-32A4D599152A}">
  <dimension ref="A1:I17"/>
  <sheetViews>
    <sheetView workbookViewId="0">
      <selection activeCell="D10" sqref="D10"/>
    </sheetView>
  </sheetViews>
  <sheetFormatPr defaultRowHeight="12.5" x14ac:dyDescent="0.25"/>
  <cols>
    <col min="1" max="1" width="17.453125" style="192" bestFit="1" customWidth="1"/>
    <col min="2" max="2" width="8" style="192" bestFit="1" customWidth="1"/>
    <col min="3" max="3" width="7.453125" style="192" bestFit="1" customWidth="1"/>
    <col min="4" max="8" width="8.7265625" style="192"/>
    <col min="9" max="9" width="31.453125" style="192" customWidth="1"/>
    <col min="10" max="16384" width="8.7265625" style="192"/>
  </cols>
  <sheetData>
    <row r="1" spans="1:9" ht="19" x14ac:dyDescent="0.4">
      <c r="A1" s="468" t="s">
        <v>238</v>
      </c>
      <c r="B1" s="469"/>
      <c r="C1" s="470"/>
      <c r="F1" s="476" t="s">
        <v>245</v>
      </c>
      <c r="G1" s="477"/>
      <c r="H1" s="477"/>
      <c r="I1" s="478"/>
    </row>
    <row r="2" spans="1:9" ht="13" x14ac:dyDescent="0.3">
      <c r="A2" s="471" t="str">
        <f>'Data Sheet'!B1</f>
        <v>HERO MOTOCORP LTD</v>
      </c>
      <c r="B2" s="472"/>
      <c r="C2" s="473"/>
      <c r="F2" s="479"/>
      <c r="G2" s="480"/>
      <c r="H2" s="480"/>
      <c r="I2" s="481"/>
    </row>
    <row r="3" spans="1:9" ht="13" x14ac:dyDescent="0.3">
      <c r="A3" s="193"/>
      <c r="B3" s="194" t="s">
        <v>176</v>
      </c>
      <c r="C3" s="195" t="s">
        <v>177</v>
      </c>
      <c r="F3" s="479"/>
      <c r="G3" s="480"/>
      <c r="H3" s="480"/>
      <c r="I3" s="481"/>
    </row>
    <row r="4" spans="1:9" x14ac:dyDescent="0.25">
      <c r="A4" s="196" t="s">
        <v>134</v>
      </c>
      <c r="B4" s="197">
        <f>'Dhandho IV'!D19</f>
        <v>50840.981864101661</v>
      </c>
      <c r="C4" s="197">
        <f>'Dhandho IV'!K19</f>
        <v>85528.299941902194</v>
      </c>
      <c r="F4" s="479"/>
      <c r="G4" s="480"/>
      <c r="H4" s="480"/>
      <c r="I4" s="481"/>
    </row>
    <row r="5" spans="1:9" x14ac:dyDescent="0.25">
      <c r="A5" s="196" t="s">
        <v>135</v>
      </c>
      <c r="B5" s="197">
        <f>'Ben Graham Formula'!B10</f>
        <v>59759.458570594681</v>
      </c>
      <c r="C5" s="197">
        <f>'Ben Graham Formula'!E10</f>
        <v>94478.954141189344</v>
      </c>
      <c r="F5" s="479"/>
      <c r="G5" s="480"/>
      <c r="H5" s="480"/>
      <c r="I5" s="481"/>
    </row>
    <row r="6" spans="1:9" x14ac:dyDescent="0.25">
      <c r="A6" s="196" t="s">
        <v>164</v>
      </c>
      <c r="B6" s="197">
        <f>DCF!B29</f>
        <v>59384.174651264097</v>
      </c>
      <c r="C6" s="197"/>
      <c r="F6" s="479"/>
      <c r="G6" s="480"/>
      <c r="H6" s="480"/>
      <c r="I6" s="481"/>
    </row>
    <row r="7" spans="1:9" x14ac:dyDescent="0.25">
      <c r="A7" s="196" t="s">
        <v>167</v>
      </c>
      <c r="B7" s="197">
        <f>'Expected Returns'!B15</f>
        <v>73947.199999999997</v>
      </c>
      <c r="C7" s="197"/>
      <c r="F7" s="479"/>
      <c r="G7" s="480"/>
      <c r="H7" s="480"/>
      <c r="I7" s="481"/>
    </row>
    <row r="8" spans="1:9" x14ac:dyDescent="0.25">
      <c r="A8" s="267" t="s">
        <v>271</v>
      </c>
      <c r="B8" s="474">
        <f>'Data Sheet'!B9</f>
        <v>54642.28</v>
      </c>
      <c r="C8" s="475"/>
      <c r="F8" s="479"/>
      <c r="G8" s="480"/>
      <c r="H8" s="480"/>
      <c r="I8" s="481"/>
    </row>
    <row r="9" spans="1:9" x14ac:dyDescent="0.25">
      <c r="F9" s="479"/>
      <c r="G9" s="480"/>
      <c r="H9" s="480"/>
      <c r="I9" s="481"/>
    </row>
    <row r="10" spans="1:9" x14ac:dyDescent="0.25">
      <c r="F10" s="479"/>
      <c r="G10" s="480"/>
      <c r="H10" s="480"/>
      <c r="I10" s="481"/>
    </row>
    <row r="11" spans="1:9" x14ac:dyDescent="0.25">
      <c r="F11" s="479"/>
      <c r="G11" s="480"/>
      <c r="H11" s="480"/>
      <c r="I11" s="481"/>
    </row>
    <row r="12" spans="1:9" x14ac:dyDescent="0.25">
      <c r="F12" s="479"/>
      <c r="G12" s="480"/>
      <c r="H12" s="480"/>
      <c r="I12" s="481"/>
    </row>
    <row r="13" spans="1:9" x14ac:dyDescent="0.25">
      <c r="F13" s="479"/>
      <c r="G13" s="480"/>
      <c r="H13" s="480"/>
      <c r="I13" s="481"/>
    </row>
    <row r="14" spans="1:9" x14ac:dyDescent="0.25">
      <c r="F14" s="479"/>
      <c r="G14" s="480"/>
      <c r="H14" s="480"/>
      <c r="I14" s="481"/>
    </row>
    <row r="15" spans="1:9" x14ac:dyDescent="0.25">
      <c r="F15" s="479"/>
      <c r="G15" s="480"/>
      <c r="H15" s="480"/>
      <c r="I15" s="481"/>
    </row>
    <row r="16" spans="1:9" x14ac:dyDescent="0.25">
      <c r="F16" s="479"/>
      <c r="G16" s="480"/>
      <c r="H16" s="480"/>
      <c r="I16" s="481"/>
    </row>
    <row r="17" spans="6:9" ht="13" thickBot="1" x14ac:dyDescent="0.3">
      <c r="F17" s="482"/>
      <c r="G17" s="483"/>
      <c r="H17" s="483"/>
      <c r="I17" s="484"/>
    </row>
  </sheetData>
  <mergeCells count="4">
    <mergeCell ref="A1:C1"/>
    <mergeCell ref="A2:C2"/>
    <mergeCell ref="B8:C8"/>
    <mergeCell ref="F1:I1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25"/>
  <sheetViews>
    <sheetView workbookViewId="0">
      <pane xSplit="1" ySplit="3" topLeftCell="B4" activePane="bottomRight" state="frozen"/>
      <selection pane="topRight" activeCell="B1" sqref="B1"/>
      <selection pane="bottomLeft" activeCell="A4" sqref="A4"/>
      <selection pane="bottomRight" activeCell="M1" sqref="M1"/>
    </sheetView>
  </sheetViews>
  <sheetFormatPr defaultColWidth="9.1796875" defaultRowHeight="12.5" x14ac:dyDescent="0.25"/>
  <cols>
    <col min="1" max="1" width="21.7265625" style="13" bestFit="1" customWidth="1"/>
    <col min="2" max="2" width="6.7265625" style="13" bestFit="1" customWidth="1"/>
    <col min="3" max="3" width="6.6328125" style="13" bestFit="1" customWidth="1"/>
    <col min="4" max="6" width="6.7265625" style="13" bestFit="1" customWidth="1"/>
    <col min="7" max="7" width="6.6328125" style="13" bestFit="1" customWidth="1"/>
    <col min="8" max="10" width="6.7265625" style="13" bestFit="1" customWidth="1"/>
    <col min="11" max="11" width="6.6328125" style="13" bestFit="1" customWidth="1"/>
    <col min="12" max="16384" width="9.1796875" style="13"/>
  </cols>
  <sheetData>
    <row r="1" spans="1:11" s="7" customFormat="1" ht="13" x14ac:dyDescent="0.3">
      <c r="A1" s="7" t="str">
        <f>'Profit &amp; Loss'!A2</f>
        <v>HERO MOTOCORP LTD</v>
      </c>
      <c r="E1" s="8" t="str">
        <f>UPDATE</f>
        <v/>
      </c>
      <c r="K1" s="24"/>
    </row>
    <row r="2" spans="1:11" ht="13" x14ac:dyDescent="0.3">
      <c r="A2" s="24" t="s">
        <v>1</v>
      </c>
    </row>
    <row r="3" spans="1:11" s="10" customFormat="1" ht="13" x14ac:dyDescent="0.3">
      <c r="A3" s="125" t="s">
        <v>2</v>
      </c>
      <c r="B3" s="126">
        <f>'Data Sheet'!B41</f>
        <v>42643</v>
      </c>
      <c r="C3" s="126">
        <f>'Data Sheet'!C41</f>
        <v>42735</v>
      </c>
      <c r="D3" s="126">
        <f>'Data Sheet'!D41</f>
        <v>42825</v>
      </c>
      <c r="E3" s="126">
        <f>'Data Sheet'!E41</f>
        <v>42916</v>
      </c>
      <c r="F3" s="126">
        <f>'Data Sheet'!F41</f>
        <v>43008</v>
      </c>
      <c r="G3" s="126">
        <f>'Data Sheet'!G41</f>
        <v>43100</v>
      </c>
      <c r="H3" s="126">
        <f>'Data Sheet'!H41</f>
        <v>43190</v>
      </c>
      <c r="I3" s="126">
        <f>'Data Sheet'!I41</f>
        <v>43281</v>
      </c>
      <c r="J3" s="126">
        <f>'Data Sheet'!J41</f>
        <v>43373</v>
      </c>
      <c r="K3" s="127">
        <f>'Data Sheet'!K41</f>
        <v>43465</v>
      </c>
    </row>
    <row r="4" spans="1:11" s="7" customFormat="1" ht="13" x14ac:dyDescent="0.3">
      <c r="A4" s="128" t="s">
        <v>4</v>
      </c>
      <c r="B4" s="118">
        <f>'Data Sheet'!B42</f>
        <v>7796.28</v>
      </c>
      <c r="C4" s="118">
        <f>'Data Sheet'!C42</f>
        <v>6364.6</v>
      </c>
      <c r="D4" s="118">
        <f>'Data Sheet'!D42</f>
        <v>6922.8</v>
      </c>
      <c r="E4" s="118">
        <f>'Data Sheet'!E42</f>
        <v>7980.5</v>
      </c>
      <c r="F4" s="118">
        <f>'Data Sheet'!F42</f>
        <v>8371.74</v>
      </c>
      <c r="G4" s="118">
        <f>'Data Sheet'!G42</f>
        <v>7314.21</v>
      </c>
      <c r="H4" s="118">
        <f>'Data Sheet'!H42</f>
        <v>8564.0400000000009</v>
      </c>
      <c r="I4" s="118">
        <f>'Data Sheet'!I42</f>
        <v>8809.82</v>
      </c>
      <c r="J4" s="118">
        <f>'Data Sheet'!J42</f>
        <v>9090.94</v>
      </c>
      <c r="K4" s="129">
        <f>'Data Sheet'!K42</f>
        <v>7864.82</v>
      </c>
    </row>
    <row r="5" spans="1:11" s="12" customFormat="1" ht="13" x14ac:dyDescent="0.3">
      <c r="A5" s="130" t="s">
        <v>92</v>
      </c>
      <c r="B5" s="131"/>
      <c r="C5" s="131"/>
      <c r="D5" s="131"/>
      <c r="E5" s="131"/>
      <c r="F5" s="117">
        <f>F4/B4-1</f>
        <v>7.381212578306573E-2</v>
      </c>
      <c r="G5" s="117">
        <f t="shared" ref="G5:K5" si="0">G4/C4-1</f>
        <v>0.1492018351506772</v>
      </c>
      <c r="H5" s="117">
        <f t="shared" si="0"/>
        <v>0.23707748309932408</v>
      </c>
      <c r="I5" s="117">
        <f t="shared" si="0"/>
        <v>0.10391830085834219</v>
      </c>
      <c r="J5" s="117">
        <f t="shared" si="0"/>
        <v>8.5908066901265512E-2</v>
      </c>
      <c r="K5" s="132">
        <f t="shared" si="0"/>
        <v>7.5279490197847743E-2</v>
      </c>
    </row>
    <row r="6" spans="1:11" x14ac:dyDescent="0.25">
      <c r="A6" s="133" t="s">
        <v>5</v>
      </c>
      <c r="B6" s="30">
        <f>'Data Sheet'!B43</f>
        <v>6427.41</v>
      </c>
      <c r="C6" s="30">
        <f>'Data Sheet'!C43</f>
        <v>5284.86</v>
      </c>
      <c r="D6" s="30">
        <f>'Data Sheet'!D43</f>
        <v>5965.24</v>
      </c>
      <c r="E6" s="30">
        <f>'Data Sheet'!E43</f>
        <v>6684.59</v>
      </c>
      <c r="F6" s="30">
        <f>'Data Sheet'!F43</f>
        <v>6916.04</v>
      </c>
      <c r="G6" s="30">
        <f>'Data Sheet'!G43</f>
        <v>6156.22</v>
      </c>
      <c r="H6" s="30">
        <f>'Data Sheet'!H43</f>
        <v>7193.45</v>
      </c>
      <c r="I6" s="30">
        <f>'Data Sheet'!I43</f>
        <v>7432.53</v>
      </c>
      <c r="J6" s="30">
        <f>'Data Sheet'!J43</f>
        <v>7712.23</v>
      </c>
      <c r="K6" s="134">
        <f>'Data Sheet'!K43</f>
        <v>6760.05</v>
      </c>
    </row>
    <row r="7" spans="1:11" s="7" customFormat="1" ht="13" x14ac:dyDescent="0.3">
      <c r="A7" s="128" t="s">
        <v>6</v>
      </c>
      <c r="B7" s="118">
        <f>'Data Sheet'!B50</f>
        <v>1368.87</v>
      </c>
      <c r="C7" s="118">
        <f>'Data Sheet'!C50</f>
        <v>1079.74</v>
      </c>
      <c r="D7" s="118">
        <f>'Data Sheet'!D50</f>
        <v>957.56</v>
      </c>
      <c r="E7" s="118">
        <f>'Data Sheet'!E50</f>
        <v>1295.9100000000001</v>
      </c>
      <c r="F7" s="118">
        <f>'Data Sheet'!F50</f>
        <v>1455.7</v>
      </c>
      <c r="G7" s="118">
        <f>'Data Sheet'!G50</f>
        <v>1157.99</v>
      </c>
      <c r="H7" s="118">
        <f>'Data Sheet'!H50</f>
        <v>1370.59</v>
      </c>
      <c r="I7" s="118">
        <f>'Data Sheet'!I50</f>
        <v>1377.29</v>
      </c>
      <c r="J7" s="118">
        <f>'Data Sheet'!J50</f>
        <v>1378.71</v>
      </c>
      <c r="K7" s="129">
        <f>'Data Sheet'!K50</f>
        <v>1104.77</v>
      </c>
    </row>
    <row r="8" spans="1:11" x14ac:dyDescent="0.25">
      <c r="A8" s="133" t="s">
        <v>7</v>
      </c>
      <c r="B8" s="30">
        <f>'Data Sheet'!B44</f>
        <v>152.36000000000001</v>
      </c>
      <c r="C8" s="30">
        <f>'Data Sheet'!C44</f>
        <v>131.93</v>
      </c>
      <c r="D8" s="30">
        <f>'Data Sheet'!D44</f>
        <v>118.23</v>
      </c>
      <c r="E8" s="30">
        <f>'Data Sheet'!E44</f>
        <v>131.69999999999999</v>
      </c>
      <c r="F8" s="30">
        <f>'Data Sheet'!F44</f>
        <v>117.6</v>
      </c>
      <c r="G8" s="30">
        <f>'Data Sheet'!G44</f>
        <v>110.02</v>
      </c>
      <c r="H8" s="30">
        <f>'Data Sheet'!H44</f>
        <v>166.5</v>
      </c>
      <c r="I8" s="30">
        <f>'Data Sheet'!I44</f>
        <v>115.73</v>
      </c>
      <c r="J8" s="30">
        <f>'Data Sheet'!J44</f>
        <v>223.66</v>
      </c>
      <c r="K8" s="134">
        <f>'Data Sheet'!K44</f>
        <v>187.64</v>
      </c>
    </row>
    <row r="9" spans="1:11" x14ac:dyDescent="0.25">
      <c r="A9" s="133" t="s">
        <v>8</v>
      </c>
      <c r="B9" s="30">
        <f>'Data Sheet'!B45</f>
        <v>119.25</v>
      </c>
      <c r="C9" s="30">
        <f>'Data Sheet'!C45</f>
        <v>124.85</v>
      </c>
      <c r="D9" s="30">
        <f>'Data Sheet'!D45</f>
        <v>135.30000000000001</v>
      </c>
      <c r="E9" s="30">
        <f>'Data Sheet'!E45</f>
        <v>132.94999999999999</v>
      </c>
      <c r="F9" s="30">
        <f>'Data Sheet'!F45</f>
        <v>136.03</v>
      </c>
      <c r="G9" s="30">
        <f>'Data Sheet'!G45</f>
        <v>138.28</v>
      </c>
      <c r="H9" s="30">
        <f>'Data Sheet'!H45</f>
        <v>148.34</v>
      </c>
      <c r="I9" s="30">
        <f>'Data Sheet'!I45</f>
        <v>148.16999999999999</v>
      </c>
      <c r="J9" s="30">
        <f>'Data Sheet'!J45</f>
        <v>151.78</v>
      </c>
      <c r="K9" s="134">
        <f>'Data Sheet'!K45</f>
        <v>151.83000000000001</v>
      </c>
    </row>
    <row r="10" spans="1:11" x14ac:dyDescent="0.25">
      <c r="A10" s="133" t="s">
        <v>9</v>
      </c>
      <c r="B10" s="30">
        <f>'Data Sheet'!B46</f>
        <v>1.55</v>
      </c>
      <c r="C10" s="30">
        <f>'Data Sheet'!C46</f>
        <v>1.52</v>
      </c>
      <c r="D10" s="30">
        <f>'Data Sheet'!D46</f>
        <v>1.48</v>
      </c>
      <c r="E10" s="30">
        <f>'Data Sheet'!E46</f>
        <v>1.58</v>
      </c>
      <c r="F10" s="30">
        <f>'Data Sheet'!F46</f>
        <v>1.56</v>
      </c>
      <c r="G10" s="30">
        <f>'Data Sheet'!G46</f>
        <v>1.57</v>
      </c>
      <c r="H10" s="30">
        <f>'Data Sheet'!H46</f>
        <v>1.54</v>
      </c>
      <c r="I10" s="30">
        <f>'Data Sheet'!I46</f>
        <v>2.11</v>
      </c>
      <c r="J10" s="30">
        <f>'Data Sheet'!J46</f>
        <v>2.14</v>
      </c>
      <c r="K10" s="134">
        <f>'Data Sheet'!K46</f>
        <v>2.16</v>
      </c>
    </row>
    <row r="11" spans="1:11" x14ac:dyDescent="0.25">
      <c r="A11" s="133" t="s">
        <v>10</v>
      </c>
      <c r="B11" s="30">
        <f>'Data Sheet'!B47</f>
        <v>1400.43</v>
      </c>
      <c r="C11" s="30">
        <f>'Data Sheet'!C47</f>
        <v>1085.3</v>
      </c>
      <c r="D11" s="30">
        <f>'Data Sheet'!D47</f>
        <v>939.01</v>
      </c>
      <c r="E11" s="30">
        <f>'Data Sheet'!E47</f>
        <v>1293.08</v>
      </c>
      <c r="F11" s="30">
        <f>'Data Sheet'!F47</f>
        <v>1435.71</v>
      </c>
      <c r="G11" s="30">
        <f>'Data Sheet'!G47</f>
        <v>1128.1600000000001</v>
      </c>
      <c r="H11" s="30">
        <f>'Data Sheet'!H47</f>
        <v>1387.21</v>
      </c>
      <c r="I11" s="30">
        <f>'Data Sheet'!I47</f>
        <v>1342.74</v>
      </c>
      <c r="J11" s="30">
        <f>'Data Sheet'!J47</f>
        <v>1448.45</v>
      </c>
      <c r="K11" s="134">
        <f>'Data Sheet'!K47</f>
        <v>1138.42</v>
      </c>
    </row>
    <row r="12" spans="1:11" ht="13" x14ac:dyDescent="0.3">
      <c r="A12" s="130" t="s">
        <v>100</v>
      </c>
      <c r="B12" s="117">
        <f>B11/B4</f>
        <v>0.17962797641952316</v>
      </c>
      <c r="C12" s="117">
        <f t="shared" ref="C12:K12" si="1">C11/C4</f>
        <v>0.17052132105709705</v>
      </c>
      <c r="D12" s="117">
        <f t="shared" si="1"/>
        <v>0.13564020338591321</v>
      </c>
      <c r="E12" s="117">
        <f t="shared" si="1"/>
        <v>0.16202994799824572</v>
      </c>
      <c r="F12" s="117">
        <f t="shared" si="1"/>
        <v>0.17149481469801978</v>
      </c>
      <c r="G12" s="117">
        <f t="shared" si="1"/>
        <v>0.15424222164799753</v>
      </c>
      <c r="H12" s="117">
        <f t="shared" si="1"/>
        <v>0.16198079411119051</v>
      </c>
      <c r="I12" s="117">
        <f t="shared" si="1"/>
        <v>0.15241401072893657</v>
      </c>
      <c r="J12" s="117">
        <f t="shared" si="1"/>
        <v>0.15932895828154184</v>
      </c>
      <c r="K12" s="132">
        <f t="shared" si="1"/>
        <v>0.14474838584989869</v>
      </c>
    </row>
    <row r="13" spans="1:11" s="12" customFormat="1" ht="13" x14ac:dyDescent="0.3">
      <c r="A13" s="130" t="s">
        <v>92</v>
      </c>
      <c r="B13" s="131"/>
      <c r="C13" s="131"/>
      <c r="D13" s="131"/>
      <c r="E13" s="131"/>
      <c r="F13" s="117">
        <f>F11/B11-1</f>
        <v>2.5192262376555696E-2</v>
      </c>
      <c r="G13" s="117">
        <f>G11/C11-1</f>
        <v>3.9491384870542934E-2</v>
      </c>
      <c r="H13" s="117">
        <f>H11/D11-1</f>
        <v>0.47731121074322957</v>
      </c>
      <c r="I13" s="117">
        <f>I11/E11-1</f>
        <v>3.8404429733659207E-2</v>
      </c>
      <c r="J13" s="117">
        <f>J11/F11-1</f>
        <v>8.8736583293282933E-3</v>
      </c>
      <c r="K13" s="132">
        <f t="shared" ref="K13" si="2">K11/G11-1</f>
        <v>9.0944546872784304E-3</v>
      </c>
    </row>
    <row r="14" spans="1:11" x14ac:dyDescent="0.25">
      <c r="A14" s="133" t="s">
        <v>11</v>
      </c>
      <c r="B14" s="30">
        <f>'Data Sheet'!B48</f>
        <v>396.21</v>
      </c>
      <c r="C14" s="30">
        <f>'Data Sheet'!C48</f>
        <v>313.25</v>
      </c>
      <c r="D14" s="30">
        <f>'Data Sheet'!D48</f>
        <v>221.26</v>
      </c>
      <c r="E14" s="30">
        <f>'Data Sheet'!E48</f>
        <v>379.04</v>
      </c>
      <c r="F14" s="30">
        <f>'Data Sheet'!F48</f>
        <v>425.22</v>
      </c>
      <c r="G14" s="30">
        <f>'Data Sheet'!G48</f>
        <v>322.73</v>
      </c>
      <c r="H14" s="30">
        <f>'Data Sheet'!H48</f>
        <v>419.81</v>
      </c>
      <c r="I14" s="30">
        <f>'Data Sheet'!I48</f>
        <v>433.57</v>
      </c>
      <c r="J14" s="30">
        <f>'Data Sheet'!J48</f>
        <v>472.17</v>
      </c>
      <c r="K14" s="134">
        <f>'Data Sheet'!K48</f>
        <v>369.32</v>
      </c>
    </row>
    <row r="15" spans="1:11" s="7" customFormat="1" ht="13" x14ac:dyDescent="0.3">
      <c r="A15" s="128" t="s">
        <v>12</v>
      </c>
      <c r="B15" s="118">
        <f>'Data Sheet'!B49</f>
        <v>1004.22</v>
      </c>
      <c r="C15" s="118">
        <f>'Data Sheet'!C49</f>
        <v>772.05</v>
      </c>
      <c r="D15" s="118">
        <f>'Data Sheet'!D49</f>
        <v>717.75</v>
      </c>
      <c r="E15" s="118">
        <f>'Data Sheet'!E49</f>
        <v>914.04</v>
      </c>
      <c r="F15" s="118">
        <f>'Data Sheet'!F49</f>
        <v>1010.49</v>
      </c>
      <c r="G15" s="118">
        <f>'Data Sheet'!G49</f>
        <v>805.43</v>
      </c>
      <c r="H15" s="118">
        <f>'Data Sheet'!H49</f>
        <v>967.4</v>
      </c>
      <c r="I15" s="118">
        <f>'Data Sheet'!I49</f>
        <v>909.17</v>
      </c>
      <c r="J15" s="118">
        <f>'Data Sheet'!J49</f>
        <v>976.28</v>
      </c>
      <c r="K15" s="129">
        <f>'Data Sheet'!K49</f>
        <v>769.1</v>
      </c>
    </row>
    <row r="16" spans="1:11" s="12" customFormat="1" ht="13" x14ac:dyDescent="0.3">
      <c r="A16" s="130" t="s">
        <v>92</v>
      </c>
      <c r="B16" s="131"/>
      <c r="C16" s="131"/>
      <c r="D16" s="131"/>
      <c r="E16" s="131"/>
      <c r="F16" s="117">
        <f>F15/B15-1</f>
        <v>6.2436517894484123E-3</v>
      </c>
      <c r="G16" s="117">
        <f t="shared" ref="G16" si="3">G15/C15-1</f>
        <v>4.3235541739524708E-2</v>
      </c>
      <c r="H16" s="117">
        <f t="shared" ref="H16" si="4">H15/D15-1</f>
        <v>0.34782305816788561</v>
      </c>
      <c r="I16" s="117">
        <f t="shared" ref="I16" si="5">I15/E15-1</f>
        <v>-5.3279943984946287E-3</v>
      </c>
      <c r="J16" s="117">
        <f t="shared" ref="J16" si="6">J15/F15-1</f>
        <v>-3.3854862492454174E-2</v>
      </c>
      <c r="K16" s="132">
        <f t="shared" ref="K16" si="7">K15/G15-1</f>
        <v>-4.5106340712414372E-2</v>
      </c>
    </row>
    <row r="17" spans="1:12" s="7" customFormat="1" ht="13" x14ac:dyDescent="0.3">
      <c r="A17" s="135" t="s">
        <v>15</v>
      </c>
      <c r="B17" s="136">
        <f t="shared" ref="B17:K17" si="8">IF(B4&gt;0,B7/B4,"")</f>
        <v>0.17557989194846771</v>
      </c>
      <c r="C17" s="136">
        <f t="shared" si="8"/>
        <v>0.16964773905665712</v>
      </c>
      <c r="D17" s="136">
        <f t="shared" si="8"/>
        <v>0.13831975501242272</v>
      </c>
      <c r="E17" s="136">
        <f t="shared" si="8"/>
        <v>0.16238456237077878</v>
      </c>
      <c r="F17" s="136">
        <f t="shared" si="8"/>
        <v>0.17388260982782552</v>
      </c>
      <c r="G17" s="136">
        <f t="shared" si="8"/>
        <v>0.15832058417792216</v>
      </c>
      <c r="H17" s="136">
        <f t="shared" si="8"/>
        <v>0.16004012125118516</v>
      </c>
      <c r="I17" s="136">
        <f t="shared" si="8"/>
        <v>0.15633577076489644</v>
      </c>
      <c r="J17" s="136">
        <f t="shared" si="8"/>
        <v>0.15165758436421314</v>
      </c>
      <c r="K17" s="137">
        <f t="shared" si="8"/>
        <v>0.14046983910629868</v>
      </c>
      <c r="L17" s="12"/>
    </row>
    <row r="25" spans="1:12" s="26" customFormat="1" x14ac:dyDescent="0.25"/>
  </sheetData>
  <hyperlinks>
    <hyperlink ref="A2"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workbookViewId="0">
      <selection activeCell="A4" sqref="A4"/>
    </sheetView>
  </sheetViews>
  <sheetFormatPr defaultColWidth="9.1796875" defaultRowHeight="14.5" x14ac:dyDescent="0.35"/>
  <cols>
    <col min="1" max="1" width="9.1796875" style="1"/>
    <col min="2" max="2" width="10.54296875" style="2" customWidth="1"/>
    <col min="3" max="3" width="13.26953125" style="4" customWidth="1"/>
    <col min="4" max="5" width="9.1796875" style="2"/>
    <col min="6" max="6" width="6.81640625" style="2" customWidth="1"/>
    <col min="7" max="16384" width="9.1796875" style="2"/>
  </cols>
  <sheetData>
    <row r="1" spans="1:7" ht="21" x14ac:dyDescent="0.5">
      <c r="A1" s="3" t="s">
        <v>52</v>
      </c>
    </row>
    <row r="3" spans="1:7" x14ac:dyDescent="0.35">
      <c r="A3" s="1" t="s">
        <v>43</v>
      </c>
    </row>
    <row r="4" spans="1:7" x14ac:dyDescent="0.35">
      <c r="B4" s="2" t="s">
        <v>84</v>
      </c>
    </row>
    <row r="5" spans="1:7" x14ac:dyDescent="0.35">
      <c r="B5" s="2" t="s">
        <v>44</v>
      </c>
    </row>
    <row r="7" spans="1:7" x14ac:dyDescent="0.35">
      <c r="A7" s="1" t="s">
        <v>45</v>
      </c>
    </row>
    <row r="8" spans="1:7" x14ac:dyDescent="0.35">
      <c r="B8" s="2" t="s">
        <v>46</v>
      </c>
      <c r="C8" s="5" t="s">
        <v>85</v>
      </c>
    </row>
    <row r="10" spans="1:7" x14ac:dyDescent="0.35">
      <c r="A10" s="1" t="s">
        <v>47</v>
      </c>
    </row>
    <row r="11" spans="1:7" x14ac:dyDescent="0.35">
      <c r="B11" s="2" t="s">
        <v>48</v>
      </c>
    </row>
    <row r="14" spans="1:7" x14ac:dyDescent="0.35">
      <c r="A14" s="1" t="s">
        <v>49</v>
      </c>
    </row>
    <row r="15" spans="1:7" x14ac:dyDescent="0.35">
      <c r="B15" s="2" t="s">
        <v>50</v>
      </c>
    </row>
    <row r="16" spans="1:7" x14ac:dyDescent="0.35">
      <c r="B16" s="2" t="s">
        <v>51</v>
      </c>
      <c r="G16" s="6" t="s">
        <v>86</v>
      </c>
    </row>
  </sheetData>
  <hyperlinks>
    <hyperlink ref="C8" r:id="rId1" display=" http://www.screener.in/excel" xr:uid="{00000000-0004-0000-04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2B96-D0DA-4AA6-93E6-84124E1A00D8}">
  <dimension ref="A1:I24"/>
  <sheetViews>
    <sheetView workbookViewId="0">
      <selection activeCell="A6" sqref="A6:B6"/>
    </sheetView>
  </sheetViews>
  <sheetFormatPr defaultColWidth="9.1796875" defaultRowHeight="13" x14ac:dyDescent="0.3"/>
  <cols>
    <col min="1" max="1" width="34.54296875" style="198" bestFit="1" customWidth="1"/>
    <col min="2" max="2" width="21.36328125" style="198" bestFit="1" customWidth="1"/>
    <col min="3" max="16384" width="9.1796875" style="198"/>
  </cols>
  <sheetData>
    <row r="1" spans="1:9" ht="13.5" thickBot="1" x14ac:dyDescent="0.35">
      <c r="A1" s="369" t="s">
        <v>334</v>
      </c>
      <c r="B1" s="370"/>
    </row>
    <row r="2" spans="1:9" x14ac:dyDescent="0.3">
      <c r="A2" s="371"/>
      <c r="B2" s="372"/>
      <c r="E2" s="358" t="s">
        <v>246</v>
      </c>
      <c r="F2" s="359"/>
      <c r="G2" s="359"/>
      <c r="H2" s="359"/>
      <c r="I2" s="360"/>
    </row>
    <row r="3" spans="1:9" ht="15" customHeight="1" x14ac:dyDescent="0.3">
      <c r="A3" s="371"/>
      <c r="B3" s="372"/>
      <c r="E3" s="361"/>
      <c r="F3" s="362"/>
      <c r="G3" s="362"/>
      <c r="H3" s="362"/>
      <c r="I3" s="363"/>
    </row>
    <row r="4" spans="1:9" ht="15" customHeight="1" x14ac:dyDescent="0.3">
      <c r="A4" s="371"/>
      <c r="B4" s="372"/>
      <c r="E4" s="361"/>
      <c r="F4" s="362"/>
      <c r="G4" s="362"/>
      <c r="H4" s="362"/>
      <c r="I4" s="363"/>
    </row>
    <row r="5" spans="1:9" ht="13.5" thickBot="1" x14ac:dyDescent="0.35">
      <c r="A5" s="373"/>
      <c r="B5" s="374"/>
      <c r="E5" s="361"/>
      <c r="F5" s="362"/>
      <c r="G5" s="362"/>
      <c r="H5" s="362"/>
      <c r="I5" s="363"/>
    </row>
    <row r="6" spans="1:9" ht="16" thickBot="1" x14ac:dyDescent="0.4">
      <c r="A6" s="375" t="s">
        <v>212</v>
      </c>
      <c r="B6" s="375"/>
      <c r="E6" s="364"/>
      <c r="F6" s="365"/>
      <c r="G6" s="365"/>
      <c r="H6" s="365"/>
      <c r="I6" s="366"/>
    </row>
    <row r="7" spans="1:9" x14ac:dyDescent="0.3">
      <c r="A7" s="367" t="s">
        <v>213</v>
      </c>
      <c r="B7" s="368"/>
    </row>
    <row r="8" spans="1:9" ht="13.5" thickBot="1" x14ac:dyDescent="0.35">
      <c r="A8" s="199" t="s">
        <v>214</v>
      </c>
      <c r="B8" s="200" t="s">
        <v>215</v>
      </c>
    </row>
    <row r="9" spans="1:9" x14ac:dyDescent="0.3">
      <c r="A9" s="74" t="s">
        <v>216</v>
      </c>
      <c r="B9" s="201" t="str">
        <f>'Data Sheet'!B1</f>
        <v>HERO MOTOCORP LTD</v>
      </c>
      <c r="E9" s="358" t="s">
        <v>247</v>
      </c>
      <c r="F9" s="376"/>
      <c r="G9" s="376"/>
      <c r="H9" s="376"/>
      <c r="I9" s="377"/>
    </row>
    <row r="10" spans="1:9" x14ac:dyDescent="0.3">
      <c r="A10" s="74" t="s">
        <v>217</v>
      </c>
      <c r="B10" s="202">
        <f>'Data Sheet'!B8</f>
        <v>2735.85</v>
      </c>
      <c r="E10" s="378"/>
      <c r="F10" s="379"/>
      <c r="G10" s="379"/>
      <c r="H10" s="379"/>
      <c r="I10" s="380"/>
    </row>
    <row r="11" spans="1:9" x14ac:dyDescent="0.3">
      <c r="A11" s="74" t="s">
        <v>218</v>
      </c>
      <c r="B11" s="203">
        <f>'Data Sheet'!B7</f>
        <v>2</v>
      </c>
      <c r="E11" s="378"/>
      <c r="F11" s="379"/>
      <c r="G11" s="379"/>
      <c r="H11" s="379"/>
      <c r="I11" s="380"/>
    </row>
    <row r="12" spans="1:9" ht="13.5" thickBot="1" x14ac:dyDescent="0.35">
      <c r="A12" s="74" t="s">
        <v>219</v>
      </c>
      <c r="B12" s="203">
        <f>'Data Sheet'!B6</f>
        <v>19.972688561141876</v>
      </c>
      <c r="E12" s="381"/>
      <c r="F12" s="382"/>
      <c r="G12" s="382"/>
      <c r="H12" s="382"/>
      <c r="I12" s="383"/>
    </row>
    <row r="13" spans="1:9" x14ac:dyDescent="0.3">
      <c r="A13" s="74" t="s">
        <v>220</v>
      </c>
      <c r="B13" s="202">
        <f>B10*B12</f>
        <v>54642.28</v>
      </c>
    </row>
    <row r="14" spans="1:9" ht="13.5" thickBot="1" x14ac:dyDescent="0.35"/>
    <row r="15" spans="1:9" x14ac:dyDescent="0.3">
      <c r="A15" s="367" t="s">
        <v>224</v>
      </c>
      <c r="B15" s="368"/>
      <c r="E15" s="358" t="s">
        <v>248</v>
      </c>
      <c r="F15" s="359"/>
      <c r="G15" s="359"/>
      <c r="H15" s="359"/>
      <c r="I15" s="360"/>
    </row>
    <row r="16" spans="1:9" x14ac:dyDescent="0.3">
      <c r="A16" s="199" t="s">
        <v>214</v>
      </c>
      <c r="B16" s="200" t="s">
        <v>215</v>
      </c>
      <c r="E16" s="361"/>
      <c r="F16" s="362"/>
      <c r="G16" s="362"/>
      <c r="H16" s="362"/>
      <c r="I16" s="363"/>
    </row>
    <row r="17" spans="1:9" x14ac:dyDescent="0.3">
      <c r="A17" s="74" t="s">
        <v>225</v>
      </c>
      <c r="B17" s="204">
        <f>'Profit &amp; Loss'!B37</f>
        <v>0.11278097342318194</v>
      </c>
      <c r="E17" s="361"/>
      <c r="F17" s="362"/>
      <c r="G17" s="362"/>
      <c r="H17" s="362"/>
      <c r="I17" s="363"/>
    </row>
    <row r="18" spans="1:9" x14ac:dyDescent="0.3">
      <c r="A18" s="74" t="s">
        <v>226</v>
      </c>
      <c r="B18" s="204">
        <f>'Profit &amp; Loss'!B38</f>
        <v>0.12745699197215377</v>
      </c>
      <c r="E18" s="361"/>
      <c r="F18" s="362"/>
      <c r="G18" s="362"/>
      <c r="H18" s="362"/>
      <c r="I18" s="363"/>
    </row>
    <row r="19" spans="1:9" x14ac:dyDescent="0.3">
      <c r="A19" s="74" t="s">
        <v>221</v>
      </c>
      <c r="B19" s="204">
        <f>('Data Sheet'!K30/'Data Sheet'!B30)^(1/9)-1</f>
        <v>0.12491720268107076</v>
      </c>
      <c r="E19" s="361"/>
      <c r="F19" s="362"/>
      <c r="G19" s="362"/>
      <c r="H19" s="362"/>
      <c r="I19" s="363"/>
    </row>
    <row r="20" spans="1:9" x14ac:dyDescent="0.3">
      <c r="A20" s="74" t="s">
        <v>222</v>
      </c>
      <c r="B20" s="205">
        <f>AVERAGE('Balance Sheet'!G25:K25)</f>
        <v>1.0152378537358902E-2</v>
      </c>
      <c r="E20" s="361"/>
      <c r="F20" s="362"/>
      <c r="G20" s="362"/>
      <c r="H20" s="362"/>
      <c r="I20" s="363"/>
    </row>
    <row r="21" spans="1:9" x14ac:dyDescent="0.3">
      <c r="A21" s="74" t="s">
        <v>223</v>
      </c>
      <c r="B21" s="206">
        <f>AVERAGE('Balance Sheet'!G26:K26)</f>
        <v>0.3494411250574575</v>
      </c>
      <c r="E21" s="361"/>
      <c r="F21" s="362"/>
      <c r="G21" s="362"/>
      <c r="H21" s="362"/>
      <c r="I21" s="363"/>
    </row>
    <row r="22" spans="1:9" x14ac:dyDescent="0.3">
      <c r="A22" s="74" t="s">
        <v>228</v>
      </c>
      <c r="B22" s="207">
        <f>AVERAGE('Profit &amp; Loss'!G28:K28)</f>
        <v>19.970553000183436</v>
      </c>
      <c r="E22" s="361"/>
      <c r="F22" s="362"/>
      <c r="G22" s="362"/>
      <c r="H22" s="362"/>
      <c r="I22" s="363"/>
    </row>
    <row r="23" spans="1:9" ht="13.5" thickBot="1" x14ac:dyDescent="0.35">
      <c r="A23" s="208" t="s">
        <v>227</v>
      </c>
      <c r="B23" s="209">
        <f>B13/Annual[[#This Row],[Column12]]</f>
        <v>15.086425820345376</v>
      </c>
      <c r="E23" s="364"/>
      <c r="F23" s="365"/>
      <c r="G23" s="365"/>
      <c r="H23" s="365"/>
      <c r="I23" s="366"/>
    </row>
    <row r="24" spans="1:9" x14ac:dyDescent="0.3">
      <c r="A24" s="210"/>
    </row>
  </sheetData>
  <mergeCells count="7">
    <mergeCell ref="E15:I23"/>
    <mergeCell ref="A15:B15"/>
    <mergeCell ref="A1:B5"/>
    <mergeCell ref="E2:I6"/>
    <mergeCell ref="A6:B6"/>
    <mergeCell ref="A7:B7"/>
    <mergeCell ref="E9:I12"/>
  </mergeCells>
  <hyperlinks>
    <hyperlink ref="A6" r:id="rId1" xr:uid="{5B192A1A-282F-45FC-8CDA-AE3F3BAD64C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E002-3D03-4067-BC1A-37D3AC939960}">
  <dimension ref="A1:B26"/>
  <sheetViews>
    <sheetView workbookViewId="0">
      <selection activeCell="A2" sqref="A2:XFD2"/>
    </sheetView>
  </sheetViews>
  <sheetFormatPr defaultColWidth="9.1796875" defaultRowHeight="12.5" x14ac:dyDescent="0.25"/>
  <cols>
    <col min="1" max="1" width="36.453125" style="8" bestFit="1" customWidth="1"/>
    <col min="2" max="2" width="96.26953125" style="8" customWidth="1"/>
    <col min="3" max="3" width="92.54296875" style="8" bestFit="1" customWidth="1"/>
    <col min="4" max="16384" width="9.1796875" style="8"/>
  </cols>
  <sheetData>
    <row r="1" spans="1:2" ht="19.5" thickBot="1" x14ac:dyDescent="0.45">
      <c r="A1" s="384" t="s">
        <v>186</v>
      </c>
      <c r="B1" s="385"/>
    </row>
    <row r="2" spans="1:2" ht="13.5" thickBot="1" x14ac:dyDescent="0.35">
      <c r="A2" s="386" t="s">
        <v>187</v>
      </c>
      <c r="B2" s="386"/>
    </row>
    <row r="3" spans="1:2" ht="13" x14ac:dyDescent="0.3">
      <c r="A3" s="139" t="s">
        <v>188</v>
      </c>
      <c r="B3" s="140" t="s">
        <v>189</v>
      </c>
    </row>
    <row r="4" spans="1:2" ht="63" thickBot="1" x14ac:dyDescent="0.3">
      <c r="A4" s="141" t="s">
        <v>190</v>
      </c>
      <c r="B4" s="142" t="s">
        <v>191</v>
      </c>
    </row>
    <row r="5" spans="1:2" ht="13" thickBot="1" x14ac:dyDescent="0.3">
      <c r="A5" s="143"/>
      <c r="B5" s="144"/>
    </row>
    <row r="6" spans="1:2" ht="75.5" thickBot="1" x14ac:dyDescent="0.3">
      <c r="A6" s="145" t="s">
        <v>192</v>
      </c>
      <c r="B6" s="146" t="s">
        <v>193</v>
      </c>
    </row>
    <row r="7" spans="1:2" ht="13.5" thickBot="1" x14ac:dyDescent="0.3">
      <c r="A7" s="147"/>
      <c r="B7" s="143"/>
    </row>
    <row r="8" spans="1:2" ht="38" thickBot="1" x14ac:dyDescent="0.3">
      <c r="A8" s="145" t="s">
        <v>194</v>
      </c>
      <c r="B8" s="146" t="s">
        <v>195</v>
      </c>
    </row>
    <row r="9" spans="1:2" ht="13.5" thickBot="1" x14ac:dyDescent="0.3">
      <c r="A9" s="147"/>
      <c r="B9" s="143"/>
    </row>
    <row r="10" spans="1:2" ht="75.5" thickBot="1" x14ac:dyDescent="0.3">
      <c r="A10" s="145" t="s">
        <v>196</v>
      </c>
      <c r="B10" s="146" t="s">
        <v>269</v>
      </c>
    </row>
    <row r="11" spans="1:2" ht="13" x14ac:dyDescent="0.25">
      <c r="A11" s="147"/>
      <c r="B11" s="143"/>
    </row>
    <row r="12" spans="1:2" ht="50" x14ac:dyDescent="0.25">
      <c r="A12" s="148" t="s">
        <v>197</v>
      </c>
      <c r="B12" s="149" t="s">
        <v>198</v>
      </c>
    </row>
    <row r="13" spans="1:2" ht="13.5" thickBot="1" x14ac:dyDescent="0.3">
      <c r="A13" s="147"/>
      <c r="B13" s="143"/>
    </row>
    <row r="14" spans="1:2" ht="50.5" thickBot="1" x14ac:dyDescent="0.3">
      <c r="A14" s="145" t="s">
        <v>199</v>
      </c>
      <c r="B14" s="146" t="s">
        <v>200</v>
      </c>
    </row>
    <row r="15" spans="1:2" ht="13.5" thickBot="1" x14ac:dyDescent="0.3">
      <c r="A15" s="147"/>
      <c r="B15" s="143"/>
    </row>
    <row r="16" spans="1:2" ht="38" thickBot="1" x14ac:dyDescent="0.3">
      <c r="A16" s="145" t="s">
        <v>201</v>
      </c>
      <c r="B16" s="146" t="s">
        <v>202</v>
      </c>
    </row>
    <row r="17" spans="1:2" ht="13.5" thickBot="1" x14ac:dyDescent="0.3">
      <c r="A17" s="147"/>
      <c r="B17" s="143"/>
    </row>
    <row r="18" spans="1:2" ht="38" thickBot="1" x14ac:dyDescent="0.3">
      <c r="A18" s="145" t="s">
        <v>203</v>
      </c>
      <c r="B18" s="146" t="s">
        <v>270</v>
      </c>
    </row>
    <row r="19" spans="1:2" ht="13.5" thickBot="1" x14ac:dyDescent="0.3">
      <c r="A19" s="147"/>
      <c r="B19" s="143"/>
    </row>
    <row r="20" spans="1:2" ht="38" thickBot="1" x14ac:dyDescent="0.3">
      <c r="A20" s="145" t="s">
        <v>204</v>
      </c>
      <c r="B20" s="146" t="s">
        <v>205</v>
      </c>
    </row>
    <row r="21" spans="1:2" ht="13.5" thickBot="1" x14ac:dyDescent="0.3">
      <c r="A21" s="147"/>
      <c r="B21" s="143"/>
    </row>
    <row r="22" spans="1:2" ht="63" thickBot="1" x14ac:dyDescent="0.3">
      <c r="A22" s="145" t="s">
        <v>206</v>
      </c>
      <c r="B22" s="146" t="s">
        <v>207</v>
      </c>
    </row>
    <row r="23" spans="1:2" ht="13" thickBot="1" x14ac:dyDescent="0.3">
      <c r="A23" s="150"/>
      <c r="B23" s="150"/>
    </row>
    <row r="24" spans="1:2" ht="50.5" thickBot="1" x14ac:dyDescent="0.3">
      <c r="A24" s="145" t="s">
        <v>208</v>
      </c>
      <c r="B24" s="146" t="s">
        <v>209</v>
      </c>
    </row>
    <row r="25" spans="1:2" ht="13" thickBot="1" x14ac:dyDescent="0.3">
      <c r="A25" s="144"/>
      <c r="B25" s="144"/>
    </row>
    <row r="26" spans="1:2" ht="13.5" thickBot="1" x14ac:dyDescent="0.3">
      <c r="A26" s="145" t="s">
        <v>210</v>
      </c>
      <c r="B26" s="146" t="s">
        <v>211</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8"/>
  <sheetViews>
    <sheetView topLeftCell="A7" workbookViewId="0">
      <selection activeCell="C29" sqref="C29"/>
    </sheetView>
  </sheetViews>
  <sheetFormatPr defaultColWidth="9.1796875" defaultRowHeight="12.5" x14ac:dyDescent="0.25"/>
  <cols>
    <col min="1" max="1" width="24.36328125" style="224" bestFit="1" customWidth="1"/>
    <col min="2" max="3" width="7.08984375" style="224" bestFit="1" customWidth="1"/>
    <col min="4" max="5" width="7.453125" style="224" bestFit="1" customWidth="1"/>
    <col min="6" max="6" width="7.08984375" style="224" bestFit="1" customWidth="1"/>
    <col min="7" max="11" width="7.453125" style="224" bestFit="1" customWidth="1"/>
    <col min="12" max="16384" width="9.1796875" style="224"/>
  </cols>
  <sheetData>
    <row r="1" spans="1:11" ht="19" x14ac:dyDescent="0.4">
      <c r="A1" s="387" t="s">
        <v>266</v>
      </c>
      <c r="B1" s="388"/>
      <c r="C1" s="388"/>
      <c r="D1" s="388"/>
      <c r="E1" s="388"/>
      <c r="F1" s="388"/>
      <c r="G1" s="388"/>
      <c r="H1" s="388"/>
      <c r="I1" s="388"/>
      <c r="J1" s="388"/>
      <c r="K1" s="389"/>
    </row>
    <row r="2" spans="1:11" s="223" customFormat="1" ht="13.5" thickBot="1" x14ac:dyDescent="0.35">
      <c r="A2" s="390" t="str">
        <f>'Profit &amp; Loss'!A2</f>
        <v>HERO MOTOCORP LTD</v>
      </c>
      <c r="B2" s="391"/>
      <c r="C2" s="391"/>
      <c r="D2" s="391"/>
      <c r="E2" s="391"/>
      <c r="F2" s="391"/>
      <c r="G2" s="391"/>
      <c r="H2" s="391"/>
      <c r="I2" s="391"/>
      <c r="J2" s="391"/>
      <c r="K2" s="392"/>
    </row>
    <row r="3" spans="1:11" s="225" customFormat="1" ht="13" x14ac:dyDescent="0.3">
      <c r="A3" s="236" t="s">
        <v>179</v>
      </c>
      <c r="B3" s="235">
        <f>'Data Sheet'!B56</f>
        <v>39903</v>
      </c>
      <c r="C3" s="235">
        <f>'Data Sheet'!C56</f>
        <v>40268</v>
      </c>
      <c r="D3" s="235">
        <f>'Data Sheet'!D56</f>
        <v>40633</v>
      </c>
      <c r="E3" s="235">
        <f>'Data Sheet'!E56</f>
        <v>40999</v>
      </c>
      <c r="F3" s="235">
        <f>'Data Sheet'!F56</f>
        <v>41364</v>
      </c>
      <c r="G3" s="235">
        <f>'Data Sheet'!G56</f>
        <v>41729</v>
      </c>
      <c r="H3" s="235">
        <f>'Data Sheet'!H56</f>
        <v>42094</v>
      </c>
      <c r="I3" s="235">
        <f>'Data Sheet'!I56</f>
        <v>42460</v>
      </c>
      <c r="J3" s="235">
        <f>'Data Sheet'!J56</f>
        <v>42825</v>
      </c>
      <c r="K3" s="237">
        <f>'Data Sheet'!K56</f>
        <v>43190</v>
      </c>
    </row>
    <row r="4" spans="1:11" x14ac:dyDescent="0.25">
      <c r="A4" s="238" t="s">
        <v>19</v>
      </c>
      <c r="B4" s="226">
        <f>'Data Sheet'!B57</f>
        <v>39.94</v>
      </c>
      <c r="C4" s="226">
        <f>'Data Sheet'!C57</f>
        <v>39.94</v>
      </c>
      <c r="D4" s="226">
        <f>'Data Sheet'!D57</f>
        <v>39.94</v>
      </c>
      <c r="E4" s="226">
        <f>'Data Sheet'!E57</f>
        <v>39.94</v>
      </c>
      <c r="F4" s="226">
        <f>'Data Sheet'!F57</f>
        <v>39.94</v>
      </c>
      <c r="G4" s="226">
        <f>'Data Sheet'!G57</f>
        <v>39.94</v>
      </c>
      <c r="H4" s="226">
        <f>'Data Sheet'!H57</f>
        <v>39.94</v>
      </c>
      <c r="I4" s="226">
        <f>'Data Sheet'!I57</f>
        <v>39.94</v>
      </c>
      <c r="J4" s="226">
        <f>'Data Sheet'!J57</f>
        <v>39.94</v>
      </c>
      <c r="K4" s="239">
        <f>'Data Sheet'!K57</f>
        <v>39.94</v>
      </c>
    </row>
    <row r="5" spans="1:11" x14ac:dyDescent="0.25">
      <c r="A5" s="238" t="s">
        <v>20</v>
      </c>
      <c r="B5" s="226">
        <f>'Data Sheet'!B58</f>
        <v>3760.81</v>
      </c>
      <c r="C5" s="226">
        <f>'Data Sheet'!C58</f>
        <v>3425.08</v>
      </c>
      <c r="D5" s="226">
        <f>'Data Sheet'!D58</f>
        <v>2916.12</v>
      </c>
      <c r="E5" s="226">
        <f>'Data Sheet'!E58</f>
        <v>4249.8900000000003</v>
      </c>
      <c r="F5" s="226">
        <f>'Data Sheet'!F58</f>
        <v>4966.3</v>
      </c>
      <c r="G5" s="226">
        <f>'Data Sheet'!G58</f>
        <v>5559.93</v>
      </c>
      <c r="H5" s="226">
        <f>'Data Sheet'!H58</f>
        <v>6501.39</v>
      </c>
      <c r="I5" s="226">
        <f>'Data Sheet'!I58</f>
        <v>8794.4699999999993</v>
      </c>
      <c r="J5" s="226">
        <f>'Data Sheet'!J58</f>
        <v>10071.35</v>
      </c>
      <c r="K5" s="239">
        <f>'Data Sheet'!K58</f>
        <v>11728.94</v>
      </c>
    </row>
    <row r="6" spans="1:11" x14ac:dyDescent="0.25">
      <c r="A6" s="238" t="s">
        <v>65</v>
      </c>
      <c r="B6" s="226">
        <f>'Data Sheet'!B59</f>
        <v>78.489999999999995</v>
      </c>
      <c r="C6" s="226">
        <f>'Data Sheet'!C59</f>
        <v>66.03</v>
      </c>
      <c r="D6" s="226">
        <f>'Data Sheet'!D59</f>
        <v>693.35</v>
      </c>
      <c r="E6" s="226">
        <f>'Data Sheet'!E59</f>
        <v>719.44</v>
      </c>
      <c r="F6" s="226">
        <f>'Data Sheet'!F59</f>
        <v>641.58000000000004</v>
      </c>
      <c r="G6" s="226">
        <f>'Data Sheet'!G59</f>
        <v>284.26</v>
      </c>
      <c r="H6" s="226">
        <f>'Data Sheet'!H59</f>
        <v>0</v>
      </c>
      <c r="I6" s="226">
        <f>'Data Sheet'!I59</f>
        <v>0</v>
      </c>
      <c r="J6" s="226">
        <f>'Data Sheet'!J59</f>
        <v>0</v>
      </c>
      <c r="K6" s="239">
        <f>'Data Sheet'!K59</f>
        <v>0</v>
      </c>
    </row>
    <row r="7" spans="1:11" x14ac:dyDescent="0.25">
      <c r="A7" s="238" t="s">
        <v>66</v>
      </c>
      <c r="B7" s="226">
        <f>'Data Sheet'!B60</f>
        <v>2205.9</v>
      </c>
      <c r="C7" s="226">
        <f>'Data Sheet'!C60</f>
        <v>4992.04</v>
      </c>
      <c r="D7" s="226">
        <f>'Data Sheet'!D60</f>
        <v>7082.8</v>
      </c>
      <c r="E7" s="226">
        <f>'Data Sheet'!E60</f>
        <v>4886.1400000000003</v>
      </c>
      <c r="F7" s="226">
        <f>'Data Sheet'!F60</f>
        <v>4001.16</v>
      </c>
      <c r="G7" s="226">
        <f>'Data Sheet'!G60</f>
        <v>4217.97</v>
      </c>
      <c r="H7" s="226">
        <f>'Data Sheet'!H60</f>
        <v>3986.68</v>
      </c>
      <c r="I7" s="226">
        <f>'Data Sheet'!I60</f>
        <v>3796.17</v>
      </c>
      <c r="J7" s="226">
        <f>'Data Sheet'!J60</f>
        <v>4645.42</v>
      </c>
      <c r="K7" s="239">
        <f>'Data Sheet'!K60</f>
        <v>5035.9399999999996</v>
      </c>
    </row>
    <row r="8" spans="1:11" s="223" customFormat="1" ht="13" x14ac:dyDescent="0.3">
      <c r="A8" s="240" t="s">
        <v>21</v>
      </c>
      <c r="B8" s="227">
        <f>'Data Sheet'!B61</f>
        <v>6085.14</v>
      </c>
      <c r="C8" s="227">
        <f>'Data Sheet'!C61</f>
        <v>8523.09</v>
      </c>
      <c r="D8" s="227">
        <f>'Data Sheet'!D61</f>
        <v>10732.21</v>
      </c>
      <c r="E8" s="227">
        <f>'Data Sheet'!E61</f>
        <v>9895.41</v>
      </c>
      <c r="F8" s="227">
        <f>'Data Sheet'!F61</f>
        <v>9648.98</v>
      </c>
      <c r="G8" s="227">
        <f>'Data Sheet'!G61</f>
        <v>10102.1</v>
      </c>
      <c r="H8" s="227">
        <f>'Data Sheet'!H61</f>
        <v>10528.01</v>
      </c>
      <c r="I8" s="227">
        <f>'Data Sheet'!I61</f>
        <v>12630.58</v>
      </c>
      <c r="J8" s="227">
        <f>'Data Sheet'!J61</f>
        <v>14756.71</v>
      </c>
      <c r="K8" s="241">
        <f>'Data Sheet'!K61</f>
        <v>16804.82</v>
      </c>
    </row>
    <row r="9" spans="1:11" s="223" customFormat="1" ht="13" x14ac:dyDescent="0.3">
      <c r="A9" s="240"/>
      <c r="B9" s="227"/>
      <c r="C9" s="227"/>
      <c r="D9" s="227"/>
      <c r="E9" s="227"/>
      <c r="F9" s="227"/>
      <c r="G9" s="227"/>
      <c r="H9" s="227"/>
      <c r="I9" s="227"/>
      <c r="J9" s="227"/>
      <c r="K9" s="241"/>
    </row>
    <row r="10" spans="1:11" x14ac:dyDescent="0.25">
      <c r="A10" s="238" t="s">
        <v>22</v>
      </c>
      <c r="B10" s="226">
        <f>'Data Sheet'!B62</f>
        <v>1573.71</v>
      </c>
      <c r="C10" s="226">
        <f>'Data Sheet'!C62</f>
        <v>1658.78</v>
      </c>
      <c r="D10" s="226">
        <f>'Data Sheet'!D62</f>
        <v>4080.28</v>
      </c>
      <c r="E10" s="226">
        <f>'Data Sheet'!E62</f>
        <v>3785.51</v>
      </c>
      <c r="F10" s="226">
        <f>'Data Sheet'!F62</f>
        <v>3070.98</v>
      </c>
      <c r="G10" s="226">
        <f>'Data Sheet'!G62</f>
        <v>2243.25</v>
      </c>
      <c r="H10" s="226">
        <f>'Data Sheet'!H62</f>
        <v>2912.69</v>
      </c>
      <c r="I10" s="226">
        <f>'Data Sheet'!I62</f>
        <v>3584.35</v>
      </c>
      <c r="J10" s="226">
        <f>'Data Sheet'!J62</f>
        <v>4395.59</v>
      </c>
      <c r="K10" s="239">
        <f>'Data Sheet'!K62</f>
        <v>4654.54</v>
      </c>
    </row>
    <row r="11" spans="1:11" x14ac:dyDescent="0.25">
      <c r="A11" s="238" t="s">
        <v>23</v>
      </c>
      <c r="B11" s="226">
        <f>'Data Sheet'!B63</f>
        <v>120.54</v>
      </c>
      <c r="C11" s="226">
        <f>'Data Sheet'!C63</f>
        <v>48.14</v>
      </c>
      <c r="D11" s="226">
        <f>'Data Sheet'!D63</f>
        <v>49.96</v>
      </c>
      <c r="E11" s="226">
        <f>'Data Sheet'!E63</f>
        <v>38.840000000000003</v>
      </c>
      <c r="F11" s="226">
        <f>'Data Sheet'!F63</f>
        <v>62.09</v>
      </c>
      <c r="G11" s="226">
        <f>'Data Sheet'!G63</f>
        <v>854.11</v>
      </c>
      <c r="H11" s="226">
        <f>'Data Sheet'!H63</f>
        <v>712.55</v>
      </c>
      <c r="I11" s="226">
        <f>'Data Sheet'!I63</f>
        <v>605.4</v>
      </c>
      <c r="J11" s="226">
        <f>'Data Sheet'!J63</f>
        <v>465.05</v>
      </c>
      <c r="K11" s="239">
        <f>'Data Sheet'!K63</f>
        <v>318.39</v>
      </c>
    </row>
    <row r="12" spans="1:11" x14ac:dyDescent="0.25">
      <c r="A12" s="238" t="s">
        <v>24</v>
      </c>
      <c r="B12" s="226">
        <f>'Data Sheet'!B64</f>
        <v>3368.75</v>
      </c>
      <c r="C12" s="226">
        <f>'Data Sheet'!C64</f>
        <v>3925.71</v>
      </c>
      <c r="D12" s="226">
        <f>'Data Sheet'!D64</f>
        <v>5128.75</v>
      </c>
      <c r="E12" s="226">
        <f>'Data Sheet'!E64</f>
        <v>3964.26</v>
      </c>
      <c r="F12" s="226">
        <f>'Data Sheet'!F64</f>
        <v>3623.83</v>
      </c>
      <c r="G12" s="226">
        <f>'Data Sheet'!G64</f>
        <v>4088.77</v>
      </c>
      <c r="H12" s="226">
        <f>'Data Sheet'!H64</f>
        <v>3154.11</v>
      </c>
      <c r="I12" s="226">
        <f>'Data Sheet'!I64</f>
        <v>4581.0200000000004</v>
      </c>
      <c r="J12" s="226">
        <f>'Data Sheet'!J64</f>
        <v>5889.85</v>
      </c>
      <c r="K12" s="239">
        <f>'Data Sheet'!K64</f>
        <v>7525.2</v>
      </c>
    </row>
    <row r="13" spans="1:11" x14ac:dyDescent="0.25">
      <c r="A13" s="238" t="s">
        <v>67</v>
      </c>
      <c r="B13" s="226">
        <f>'Data Sheet'!B65</f>
        <v>1022.14</v>
      </c>
      <c r="C13" s="226">
        <f>'Data Sheet'!C65</f>
        <v>2890.46</v>
      </c>
      <c r="D13" s="226">
        <f>'Data Sheet'!D65</f>
        <v>1473.22</v>
      </c>
      <c r="E13" s="226">
        <f>'Data Sheet'!E65</f>
        <v>2106.8000000000002</v>
      </c>
      <c r="F13" s="226">
        <f>'Data Sheet'!F65</f>
        <v>2892.08</v>
      </c>
      <c r="G13" s="226">
        <f>'Data Sheet'!G65</f>
        <v>2915.97</v>
      </c>
      <c r="H13" s="226">
        <f>'Data Sheet'!H65</f>
        <v>3748.66</v>
      </c>
      <c r="I13" s="226">
        <f>'Data Sheet'!I65</f>
        <v>3859.81</v>
      </c>
      <c r="J13" s="226">
        <f>'Data Sheet'!J65</f>
        <v>4006.22</v>
      </c>
      <c r="K13" s="239">
        <f>'Data Sheet'!K65</f>
        <v>4306.6899999999996</v>
      </c>
    </row>
    <row r="14" spans="1:11" s="223" customFormat="1" ht="13" x14ac:dyDescent="0.3">
      <c r="A14" s="240" t="s">
        <v>21</v>
      </c>
      <c r="B14" s="227">
        <f>'Data Sheet'!B66</f>
        <v>6085.14</v>
      </c>
      <c r="C14" s="227">
        <f>'Data Sheet'!C66</f>
        <v>8523.09</v>
      </c>
      <c r="D14" s="227">
        <f>'Data Sheet'!D66</f>
        <v>10732.21</v>
      </c>
      <c r="E14" s="227">
        <f>'Data Sheet'!E66</f>
        <v>9895.41</v>
      </c>
      <c r="F14" s="227">
        <f>'Data Sheet'!F66</f>
        <v>9648.98</v>
      </c>
      <c r="G14" s="227">
        <f>'Data Sheet'!G66</f>
        <v>10102.1</v>
      </c>
      <c r="H14" s="227">
        <f>'Data Sheet'!H66</f>
        <v>10528.01</v>
      </c>
      <c r="I14" s="227">
        <f>'Data Sheet'!I66</f>
        <v>12630.58</v>
      </c>
      <c r="J14" s="227">
        <f>'Data Sheet'!J66</f>
        <v>14756.71</v>
      </c>
      <c r="K14" s="241">
        <f>'Data Sheet'!K66</f>
        <v>16804.82</v>
      </c>
    </row>
    <row r="15" spans="1:11" x14ac:dyDescent="0.25">
      <c r="A15" s="238"/>
      <c r="B15" s="228"/>
      <c r="C15" s="228"/>
      <c r="D15" s="228"/>
      <c r="E15" s="228"/>
      <c r="F15" s="228"/>
      <c r="G15" s="228"/>
      <c r="H15" s="228"/>
      <c r="I15" s="228"/>
      <c r="J15" s="228"/>
      <c r="K15" s="242"/>
    </row>
    <row r="16" spans="1:11" x14ac:dyDescent="0.25">
      <c r="A16" s="243" t="s">
        <v>25</v>
      </c>
      <c r="B16" s="228">
        <f>B13-B7</f>
        <v>-1183.7600000000002</v>
      </c>
      <c r="C16" s="228">
        <f t="shared" ref="C16:K16" si="0">C13-C7</f>
        <v>-2101.58</v>
      </c>
      <c r="D16" s="228">
        <f t="shared" si="0"/>
        <v>-5609.58</v>
      </c>
      <c r="E16" s="228">
        <f t="shared" si="0"/>
        <v>-2779.34</v>
      </c>
      <c r="F16" s="228">
        <f t="shared" si="0"/>
        <v>-1109.08</v>
      </c>
      <c r="G16" s="228">
        <f t="shared" si="0"/>
        <v>-1302.0000000000005</v>
      </c>
      <c r="H16" s="228">
        <f t="shared" si="0"/>
        <v>-238.01999999999998</v>
      </c>
      <c r="I16" s="228">
        <f t="shared" si="0"/>
        <v>63.639999999999873</v>
      </c>
      <c r="J16" s="228">
        <f t="shared" si="0"/>
        <v>-639.20000000000027</v>
      </c>
      <c r="K16" s="242">
        <f t="shared" si="0"/>
        <v>-729.25</v>
      </c>
    </row>
    <row r="17" spans="1:12" x14ac:dyDescent="0.25">
      <c r="A17" s="238" t="s">
        <v>39</v>
      </c>
      <c r="B17" s="228">
        <f>'Data Sheet'!B67</f>
        <v>149.94</v>
      </c>
      <c r="C17" s="228">
        <f>'Data Sheet'!C67</f>
        <v>108.39</v>
      </c>
      <c r="D17" s="228">
        <f>'Data Sheet'!D67</f>
        <v>130.59</v>
      </c>
      <c r="E17" s="228">
        <f>'Data Sheet'!E67</f>
        <v>272.31</v>
      </c>
      <c r="F17" s="228">
        <f>'Data Sheet'!F67</f>
        <v>665</v>
      </c>
      <c r="G17" s="228">
        <f>'Data Sheet'!G67</f>
        <v>920.58</v>
      </c>
      <c r="H17" s="228">
        <f>'Data Sheet'!H67</f>
        <v>1389.59</v>
      </c>
      <c r="I17" s="228">
        <f>'Data Sheet'!I67</f>
        <v>1282.8</v>
      </c>
      <c r="J17" s="228">
        <f>'Data Sheet'!J67</f>
        <v>1561.87</v>
      </c>
      <c r="K17" s="242">
        <f>'Data Sheet'!K67</f>
        <v>1520.18</v>
      </c>
    </row>
    <row r="18" spans="1:12" x14ac:dyDescent="0.25">
      <c r="A18" s="238" t="s">
        <v>40</v>
      </c>
      <c r="B18" s="228">
        <f>'Data Sheet'!B68</f>
        <v>326.83</v>
      </c>
      <c r="C18" s="228">
        <f>'Data Sheet'!C68</f>
        <v>436.4</v>
      </c>
      <c r="D18" s="228">
        <f>'Data Sheet'!D68</f>
        <v>524.92999999999995</v>
      </c>
      <c r="E18" s="228">
        <f>'Data Sheet'!E68</f>
        <v>675.57</v>
      </c>
      <c r="F18" s="228">
        <f>'Data Sheet'!F68</f>
        <v>636.76</v>
      </c>
      <c r="G18" s="228">
        <f>'Data Sheet'!G68</f>
        <v>669.55</v>
      </c>
      <c r="H18" s="228">
        <f>'Data Sheet'!H68</f>
        <v>815.49</v>
      </c>
      <c r="I18" s="228">
        <f>'Data Sheet'!I68</f>
        <v>672.98</v>
      </c>
      <c r="J18" s="228">
        <f>'Data Sheet'!J68</f>
        <v>656.31</v>
      </c>
      <c r="K18" s="242">
        <f>'Data Sheet'!K68</f>
        <v>823.58</v>
      </c>
    </row>
    <row r="19" spans="1:12" ht="13" thickBot="1" x14ac:dyDescent="0.3">
      <c r="A19" s="244" t="s">
        <v>229</v>
      </c>
      <c r="B19" s="245"/>
      <c r="C19" s="245"/>
      <c r="D19" s="245"/>
      <c r="E19" s="245">
        <f>71.52+4663.29</f>
        <v>4734.8100000000004</v>
      </c>
      <c r="F19" s="245">
        <f>76.82+3290.3</f>
        <v>3367.1200000000003</v>
      </c>
      <c r="G19" s="245">
        <f>181.04+3009.36</f>
        <v>3190.4</v>
      </c>
      <c r="H19" s="245">
        <f>117.5+3275.89</f>
        <v>3393.39</v>
      </c>
      <c r="I19" s="245">
        <f>127.22+2477.63</f>
        <v>2604.85</v>
      </c>
      <c r="J19" s="245">
        <f>74.68+3471.57</f>
        <v>3546.25</v>
      </c>
      <c r="K19" s="246">
        <f>74.06+4544.06</f>
        <v>4618.1200000000008</v>
      </c>
    </row>
    <row r="20" spans="1:12" ht="13" x14ac:dyDescent="0.3">
      <c r="A20" s="233" t="s">
        <v>252</v>
      </c>
      <c r="B20" s="229"/>
      <c r="C20" s="229"/>
      <c r="D20" s="229"/>
      <c r="E20" s="229"/>
      <c r="F20" s="229"/>
      <c r="G20" s="229"/>
      <c r="H20" s="229"/>
      <c r="I20" s="229"/>
      <c r="J20" s="229"/>
      <c r="K20" s="229"/>
    </row>
    <row r="21" spans="1:12" ht="13" thickBot="1" x14ac:dyDescent="0.3">
      <c r="B21" s="229"/>
      <c r="C21" s="229"/>
      <c r="D21" s="229"/>
      <c r="E21" s="229"/>
      <c r="F21" s="229"/>
      <c r="G21" s="229"/>
      <c r="H21" s="229"/>
      <c r="I21" s="229"/>
      <c r="J21" s="229"/>
      <c r="K21" s="229"/>
    </row>
    <row r="22" spans="1:12" ht="13" x14ac:dyDescent="0.3">
      <c r="A22" s="247" t="s">
        <v>41</v>
      </c>
      <c r="B22" s="248">
        <f>IF('Profit &amp; Loss'!B4&gt;0,'Balance Sheet'!B17/('Profit &amp; Loss'!B4/365),0)</f>
        <v>4.4425332328932585</v>
      </c>
      <c r="C22" s="248">
        <f>IF('Profit &amp; Loss'!C4&gt;0,'Balance Sheet'!C17/('Profit &amp; Loss'!C4/365),0)</f>
        <v>2.5105913246326668</v>
      </c>
      <c r="D22" s="248">
        <f>IF('Profit &amp; Loss'!D4&gt;0,'Balance Sheet'!D17/('Profit &amp; Loss'!D4/365),0)</f>
        <v>2.4572389940576134</v>
      </c>
      <c r="E22" s="248">
        <f>IF('Profit &amp; Loss'!E4&gt;0,'Balance Sheet'!E17/('Profit &amp; Loss'!E4/365),0)</f>
        <v>4.2153197141697518</v>
      </c>
      <c r="F22" s="248">
        <f>IF('Profit &amp; Loss'!F4&gt;0,'Balance Sheet'!F17/('Profit &amp; Loss'!F4/365),0)</f>
        <v>10.212212918906888</v>
      </c>
      <c r="G22" s="248">
        <f>IF('Profit &amp; Loss'!G4&gt;0,'Balance Sheet'!G17/('Profit &amp; Loss'!G4/365),0)</f>
        <v>13.293984246385923</v>
      </c>
      <c r="H22" s="248">
        <f>IF('Profit &amp; Loss'!H4&gt;0,'Balance Sheet'!H17/('Profit &amp; Loss'!H4/365),0)</f>
        <v>18.386617147538722</v>
      </c>
      <c r="I22" s="248">
        <f>IF('Profit &amp; Loss'!I4&gt;0,'Balance Sheet'!I17/('Profit &amp; Loss'!I4/365),0)</f>
        <v>16.461939267369129</v>
      </c>
      <c r="J22" s="248">
        <f>IF('Profit &amp; Loss'!J4&gt;0,'Balance Sheet'!J17/('Profit &amp; Loss'!J4/365),0)</f>
        <v>20.002573642671031</v>
      </c>
      <c r="K22" s="249">
        <f>IF('Profit &amp; Loss'!K4&gt;0,'Balance Sheet'!K17/('Profit &amp; Loss'!K4/365),0)</f>
        <v>17.215552726626246</v>
      </c>
    </row>
    <row r="23" spans="1:12" ht="13" x14ac:dyDescent="0.3">
      <c r="A23" s="250" t="s">
        <v>42</v>
      </c>
      <c r="B23" s="230">
        <f>IF('Balance Sheet'!B18&gt;0,'Profit &amp; Loss'!B4/'Balance Sheet'!B18,0)</f>
        <v>37.692745464002698</v>
      </c>
      <c r="C23" s="230">
        <f>IF('Balance Sheet'!C18&gt;0,'Profit &amp; Loss'!C4/'Balance Sheet'!C18,0)</f>
        <v>36.10948670944088</v>
      </c>
      <c r="D23" s="230">
        <f>IF('Balance Sheet'!D18&gt;0,'Profit &amp; Loss'!D4/'Balance Sheet'!D18,0)</f>
        <v>36.953365210599515</v>
      </c>
      <c r="E23" s="230">
        <f>IF('Balance Sheet'!E18&gt;0,'Profit &amp; Loss'!E4/'Balance Sheet'!E18,0)</f>
        <v>34.902423138978932</v>
      </c>
      <c r="F23" s="230">
        <f>IF('Balance Sheet'!F18&gt;0,'Profit &amp; Loss'!F4/'Balance Sheet'!F18,0)</f>
        <v>37.326637979772599</v>
      </c>
      <c r="G23" s="230">
        <f>IF('Balance Sheet'!G18&gt;0,'Profit &amp; Loss'!G4/'Balance Sheet'!G18,0)</f>
        <v>37.749936524531407</v>
      </c>
      <c r="H23" s="230">
        <f>IF('Balance Sheet'!H18&gt;0,'Profit &amp; Loss'!H4/'Balance Sheet'!H18,0)</f>
        <v>33.826656366111173</v>
      </c>
      <c r="I23" s="230">
        <f>IF('Balance Sheet'!I18&gt;0,'Profit &amp; Loss'!I4/'Balance Sheet'!I18,0)</f>
        <v>42.263811703170973</v>
      </c>
      <c r="J23" s="230">
        <f>IF('Balance Sheet'!J18&gt;0,'Profit &amp; Loss'!J4/'Balance Sheet'!J18,0)</f>
        <v>43.425302067620486</v>
      </c>
      <c r="K23" s="251">
        <f>IF('Balance Sheet'!K18&gt;0,'Profit &amp; Loss'!K4/'Balance Sheet'!K18,0)</f>
        <v>39.134619587653901</v>
      </c>
    </row>
    <row r="24" spans="1:12" ht="13" x14ac:dyDescent="0.3">
      <c r="A24" s="250" t="s">
        <v>97</v>
      </c>
      <c r="B24" s="231">
        <f>'Profit &amp; Loss'!B4/'Balance Sheet'!B10</f>
        <v>7.8280750583017209</v>
      </c>
      <c r="C24" s="231">
        <f>'Profit &amp; Loss'!C4/'Balance Sheet'!C10</f>
        <v>9.4998613438792372</v>
      </c>
      <c r="D24" s="231">
        <f>'Profit &amp; Loss'!D4/'Balance Sheet'!D10</f>
        <v>4.7540683482506099</v>
      </c>
      <c r="E24" s="231">
        <f>'Profit &amp; Loss'!E4/'Balance Sheet'!E10</f>
        <v>6.2287591368137969</v>
      </c>
      <c r="F24" s="231">
        <f>'Profit &amp; Loss'!F4/'Balance Sheet'!F10</f>
        <v>7.7395847579599995</v>
      </c>
      <c r="G24" s="231">
        <f>'Profit &amp; Loss'!G4/'Balance Sheet'!G10</f>
        <v>11.267344254987185</v>
      </c>
      <c r="H24" s="231">
        <f>'Profit &amp; Loss'!H4/'Balance Sheet'!H10</f>
        <v>9.4707298064675598</v>
      </c>
      <c r="I24" s="231">
        <f>'Profit &amp; Loss'!I4/'Balance Sheet'!I10</f>
        <v>7.9352462789627136</v>
      </c>
      <c r="J24" s="231">
        <f>'Profit &amp; Loss'!J4/'Balance Sheet'!J10</f>
        <v>6.4838758846935223</v>
      </c>
      <c r="K24" s="252">
        <f>'Profit &amp; Loss'!K4/'Balance Sheet'!K10</f>
        <v>6.9245274506181067</v>
      </c>
    </row>
    <row r="25" spans="1:12" ht="13" x14ac:dyDescent="0.3">
      <c r="A25" s="250" t="s">
        <v>98</v>
      </c>
      <c r="B25" s="231">
        <f>B6/(B4+B5)</f>
        <v>2.0651187265671247E-2</v>
      </c>
      <c r="C25" s="231">
        <f t="shared" ref="C25:K25" si="1">C6/(C4+C5)</f>
        <v>1.9056167063970772E-2</v>
      </c>
      <c r="D25" s="231">
        <f t="shared" si="1"/>
        <v>0.2345520726913527</v>
      </c>
      <c r="E25" s="231">
        <f t="shared" si="1"/>
        <v>0.16770827748418937</v>
      </c>
      <c r="F25" s="231">
        <f t="shared" si="1"/>
        <v>0.12815606123557802</v>
      </c>
      <c r="G25" s="231">
        <f t="shared" si="1"/>
        <v>5.0761892686794513E-2</v>
      </c>
      <c r="H25" s="231">
        <f t="shared" si="1"/>
        <v>0</v>
      </c>
      <c r="I25" s="231">
        <f t="shared" si="1"/>
        <v>0</v>
      </c>
      <c r="J25" s="231">
        <f t="shared" si="1"/>
        <v>0</v>
      </c>
      <c r="K25" s="252">
        <f t="shared" si="1"/>
        <v>0</v>
      </c>
    </row>
    <row r="26" spans="1:12" s="223" customFormat="1" ht="13" x14ac:dyDescent="0.3">
      <c r="A26" s="250" t="s">
        <v>55</v>
      </c>
      <c r="B26" s="232">
        <f>IF(SUM('Balance Sheet'!B4:B5)&gt;0,'Profit &amp; Loss'!B23/SUM('Balance Sheet'!B4:B5),"")</f>
        <v>0.33723870288758806</v>
      </c>
      <c r="C26" s="232">
        <f>IF(SUM('Balance Sheet'!C4:C5)&gt;0,'Profit &amp; Loss'!C23/SUM('Balance Sheet'!C4:C5),"")</f>
        <v>0.64410306434017739</v>
      </c>
      <c r="D26" s="232">
        <f>IF(SUM('Balance Sheet'!D4:D5)&gt;0,'Profit &amp; Loss'!D23/SUM('Balance Sheet'!D4:D5),"")</f>
        <v>0.65218567958701856</v>
      </c>
      <c r="E26" s="232">
        <f>IF(SUM('Balance Sheet'!E4:E5)&gt;0,'Profit &amp; Loss'!E23/SUM('Balance Sheet'!E4:E5),"")</f>
        <v>0.55436462517162666</v>
      </c>
      <c r="F26" s="232">
        <f>IF(SUM('Balance Sheet'!F4:F5)&gt;0,'Profit &amp; Loss'!F23/SUM('Balance Sheet'!F4:F5),"")</f>
        <v>0.42310396625012059</v>
      </c>
      <c r="G26" s="232">
        <f>IF(SUM('Balance Sheet'!G4:G5)&gt;0,'Profit &amp; Loss'!G23/SUM('Balance Sheet'!G4:G5),"")</f>
        <v>0.37663017177184493</v>
      </c>
      <c r="H26" s="232">
        <f>IF(SUM('Balance Sheet'!H4:H5)&gt;0,'Profit &amp; Loss'!H23/SUM('Balance Sheet'!H4:H5),"")</f>
        <v>0.36470259106328456</v>
      </c>
      <c r="I26" s="232">
        <f>IF(SUM('Balance Sheet'!I4:I5)&gt;0,'Profit &amp; Loss'!I23/SUM('Balance Sheet'!I4:I5),"")</f>
        <v>0.35771375790799842</v>
      </c>
      <c r="J26" s="232">
        <f>IF(SUM('Balance Sheet'!J4:J5)&gt;0,'Profit &amp; Loss'!J23/SUM('Balance Sheet'!J4:J5),"")</f>
        <v>0.33399496997910305</v>
      </c>
      <c r="K26" s="253">
        <f>IF(SUM('Balance Sheet'!K4:K5)&gt;0,'Profit &amp; Loss'!K23/SUM('Balance Sheet'!K4:K5),"")</f>
        <v>0.31416413456505643</v>
      </c>
      <c r="L26" s="224"/>
    </row>
    <row r="27" spans="1:12" s="223" customFormat="1" ht="13.5" thickBot="1" x14ac:dyDescent="0.35">
      <c r="A27" s="254" t="s">
        <v>96</v>
      </c>
      <c r="B27" s="293">
        <f>('Profit &amp; Loss'!B19+'Profit &amp; Loss'!B17)/(B4+B5+B6)</f>
        <v>0.45988131695899204</v>
      </c>
      <c r="C27" s="293">
        <f>('Profit &amp; Loss'!C19+'Profit &amp; Loss'!C17)/(C4+C5+C6)</f>
        <v>0.80254598490534013</v>
      </c>
      <c r="D27" s="293">
        <f>('Profit &amp; Loss'!D19+'Profit &amp; Loss'!D17)/(D4+D5+D6)</f>
        <v>0.66310170685124503</v>
      </c>
      <c r="E27" s="293">
        <f>('Profit &amp; Loss'!E19+'Profit &amp; Loss'!E17)/(E4+E5+E6)</f>
        <v>0.57613384784609312</v>
      </c>
      <c r="F27" s="293">
        <f>('Profit &amp; Loss'!F19+'Profit &amp; Loss'!F17)/(F4+F5+F6)</f>
        <v>0.44992758267791882</v>
      </c>
      <c r="G27" s="293">
        <f>('Profit &amp; Loss'!G19+'Profit &amp; Loss'!G17)/(G4+G5+G6)</f>
        <v>0.48929408425714616</v>
      </c>
      <c r="H27" s="293">
        <f>('Profit &amp; Loss'!H19+'Profit &amp; Loss'!H17)/(H4+H5+H6)</f>
        <v>0.51058576772613451</v>
      </c>
      <c r="I27" s="293">
        <f>('Profit &amp; Loss'!I19+'Profit &amp; Loss'!I17)/(I4+I5+I6)</f>
        <v>0.50255308503906893</v>
      </c>
      <c r="J27" s="293">
        <f>('Profit &amp; Loss'!J19+'Profit &amp; Loss'!J17)/(J4+J5+J6)</f>
        <v>0.46131700307280332</v>
      </c>
      <c r="K27" s="294">
        <f>('Profit &amp; Loss'!K19+'Profit &amp; Loss'!K17)/(K4+K5+K6)</f>
        <v>0.44612656429498826</v>
      </c>
      <c r="L27" s="224"/>
    </row>
    <row r="28" spans="1:12" s="225" customFormat="1" x14ac:dyDescent="0.25"/>
  </sheetData>
  <mergeCells count="2">
    <mergeCell ref="A1:K1"/>
    <mergeCell ref="A2:K2"/>
  </mergeCells>
  <printOptions gridLines="1"/>
  <pageMargins left="0.7" right="0.7" top="0.75" bottom="0.75" header="0.3" footer="0.3"/>
  <pageSetup paperSize="9" orientation="landscape" horizontalDpi="0" verticalDpi="0" r:id="rId1"/>
  <extLst>
    <ext xmlns:x14="http://schemas.microsoft.com/office/spreadsheetml/2009/9/main" uri="{05C60535-1F16-4fd2-B633-F4F36F0B64E0}">
      <x14:sparklineGroups xmlns:xm="http://schemas.microsoft.com/office/excel/2006/main">
        <x14:sparklineGroup type="column" displayEmptyCellsAs="gap" xr2:uid="{B062919B-1B9E-4F85-9F98-EEBE56C8C994}">
          <x14:colorSeries rgb="FFC00000"/>
          <x14:colorNegative rgb="FFD00000"/>
          <x14:colorAxis rgb="FF000000"/>
          <x14:colorMarkers rgb="FFD00000"/>
          <x14:colorFirst rgb="FFD00000"/>
          <x14:colorLast rgb="FFD00000"/>
          <x14:colorHigh rgb="FFD00000"/>
          <x14:colorLow rgb="FFD00000"/>
          <x14:sparklines>
            <x14:sparkline>
              <xm:f>'Balance Sheet'!G22:K22</xm:f>
              <xm:sqref>L22</xm:sqref>
            </x14:sparkline>
            <x14:sparkline>
              <xm:f>'Balance Sheet'!G23:K23</xm:f>
              <xm:sqref>L23</xm:sqref>
            </x14:sparkline>
            <x14:sparkline>
              <xm:f>'Balance Sheet'!G24:K24</xm:f>
              <xm:sqref>L24</xm:sqref>
            </x14:sparkline>
          </x14:sparklines>
        </x14:sparklineGroup>
        <x14:sparklineGroup type="column" displayEmptyCellsAs="gap" xr2:uid="{0A035670-A727-405C-899E-AD0948A76599}">
          <x14:colorSeries rgb="FFC00000"/>
          <x14:colorNegative rgb="FFD00000"/>
          <x14:colorAxis rgb="FF000000"/>
          <x14:colorMarkers rgb="FFD00000"/>
          <x14:colorFirst rgb="FFD00000"/>
          <x14:colorLast rgb="FFD00000"/>
          <x14:colorHigh rgb="FFD00000"/>
          <x14:colorLow rgb="FFD00000"/>
          <x14:sparklines>
            <x14:sparkline>
              <xm:f>'Balance Sheet'!G26:K26</xm:f>
              <xm:sqref>L26</xm:sqref>
            </x14:sparkline>
          </x14:sparklines>
        </x14:sparklineGroup>
        <x14:sparklineGroup type="column" displayEmptyCellsAs="gap" xr2:uid="{C6317AC8-0CE7-4ED0-83C1-F68B6A61E005}">
          <x14:colorSeries rgb="FFC00000"/>
          <x14:colorNegative rgb="FFD00000"/>
          <x14:colorAxis rgb="FF000000"/>
          <x14:colorMarkers rgb="FFD00000"/>
          <x14:colorFirst rgb="FFD00000"/>
          <x14:colorLast rgb="FFD00000"/>
          <x14:colorHigh rgb="FFD00000"/>
          <x14:colorLow rgb="FFD00000"/>
          <x14:sparklines>
            <x14:sparkline>
              <xm:f>'Balance Sheet'!G27:K27</xm:f>
              <xm:sqref>L27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4"/>
  <sheetViews>
    <sheetView topLeftCell="A30" zoomScaleSheetLayoutView="100" workbookViewId="0">
      <selection activeCell="F37" sqref="F37"/>
    </sheetView>
  </sheetViews>
  <sheetFormatPr defaultColWidth="9.453125" defaultRowHeight="12.5" x14ac:dyDescent="0.25"/>
  <cols>
    <col min="1" max="1" width="25.54296875" style="153" bestFit="1" customWidth="1"/>
    <col min="2" max="2" width="9.36328125" style="153" bestFit="1" customWidth="1"/>
    <col min="3" max="5" width="8.36328125" style="153" bestFit="1" customWidth="1"/>
    <col min="6" max="12" width="7.453125" style="153" bestFit="1" customWidth="1"/>
    <col min="13" max="13" width="13" style="153" bestFit="1" customWidth="1"/>
    <col min="14" max="14" width="9.453125" style="153"/>
    <col min="15" max="15" width="10.54296875" style="153" customWidth="1"/>
    <col min="16" max="16384" width="9.453125" style="153"/>
  </cols>
  <sheetData>
    <row r="1" spans="1:15" ht="19" x14ac:dyDescent="0.4">
      <c r="A1" s="387" t="s">
        <v>239</v>
      </c>
      <c r="B1" s="388"/>
      <c r="C1" s="388"/>
      <c r="D1" s="388"/>
      <c r="E1" s="388"/>
      <c r="F1" s="388"/>
      <c r="G1" s="388"/>
      <c r="H1" s="388"/>
      <c r="I1" s="388"/>
      <c r="J1" s="388"/>
      <c r="K1" s="388"/>
      <c r="L1" s="389"/>
    </row>
    <row r="2" spans="1:15" s="154" customFormat="1" ht="13.5" thickBot="1" x14ac:dyDescent="0.35">
      <c r="A2" s="395" t="str">
        <f>'Data Sheet'!B1</f>
        <v>HERO MOTOCORP LTD</v>
      </c>
      <c r="B2" s="396"/>
      <c r="C2" s="396"/>
      <c r="D2" s="396"/>
      <c r="E2" s="396"/>
      <c r="F2" s="396"/>
      <c r="G2" s="396"/>
      <c r="H2" s="396"/>
      <c r="I2" s="396"/>
      <c r="J2" s="396"/>
      <c r="K2" s="396"/>
      <c r="L2" s="397"/>
    </row>
    <row r="3" spans="1:15" s="158" customFormat="1" ht="13" x14ac:dyDescent="0.3">
      <c r="A3" s="155" t="s">
        <v>179</v>
      </c>
      <c r="B3" s="156">
        <f>'Data Sheet'!B16</f>
        <v>39903</v>
      </c>
      <c r="C3" s="156">
        <f>'Data Sheet'!C16</f>
        <v>40268</v>
      </c>
      <c r="D3" s="156">
        <f>'Data Sheet'!D16</f>
        <v>40633</v>
      </c>
      <c r="E3" s="156">
        <f>'Data Sheet'!E16</f>
        <v>40999</v>
      </c>
      <c r="F3" s="156">
        <f>'Data Sheet'!F16</f>
        <v>41364</v>
      </c>
      <c r="G3" s="156">
        <f>'Data Sheet'!G16</f>
        <v>41729</v>
      </c>
      <c r="H3" s="156">
        <f>'Data Sheet'!H16</f>
        <v>42094</v>
      </c>
      <c r="I3" s="156">
        <f>'Data Sheet'!I16</f>
        <v>42460</v>
      </c>
      <c r="J3" s="156">
        <f>'Data Sheet'!J16</f>
        <v>42825</v>
      </c>
      <c r="K3" s="156">
        <f>'Data Sheet'!K16</f>
        <v>43190</v>
      </c>
      <c r="L3" s="157" t="s">
        <v>3</v>
      </c>
    </row>
    <row r="4" spans="1:15" s="154" customFormat="1" ht="13" x14ac:dyDescent="0.3">
      <c r="A4" s="159" t="s">
        <v>4</v>
      </c>
      <c r="B4" s="160">
        <f>'Data Sheet'!B17</f>
        <v>12319.12</v>
      </c>
      <c r="C4" s="160">
        <f>'Data Sheet'!C17</f>
        <v>15758.18</v>
      </c>
      <c r="D4" s="160">
        <f>'Data Sheet'!D17</f>
        <v>19397.93</v>
      </c>
      <c r="E4" s="160">
        <f>'Data Sheet'!E17</f>
        <v>23579.03</v>
      </c>
      <c r="F4" s="160">
        <f>'Data Sheet'!F17</f>
        <v>23768.11</v>
      </c>
      <c r="G4" s="160">
        <f>'Data Sheet'!G17</f>
        <v>25275.47</v>
      </c>
      <c r="H4" s="160">
        <f>'Data Sheet'!H17</f>
        <v>27585.3</v>
      </c>
      <c r="I4" s="160">
        <f>'Data Sheet'!I17</f>
        <v>28442.7</v>
      </c>
      <c r="J4" s="160">
        <f>'Data Sheet'!J17</f>
        <v>28500.46</v>
      </c>
      <c r="K4" s="160">
        <f>'Data Sheet'!K17</f>
        <v>32230.49</v>
      </c>
      <c r="L4" s="161">
        <f>SUM(Quarters!H4:K4)</f>
        <v>34329.620000000003</v>
      </c>
    </row>
    <row r="5" spans="1:15" s="154" customFormat="1" ht="13" x14ac:dyDescent="0.3">
      <c r="A5" s="162" t="s">
        <v>92</v>
      </c>
      <c r="B5" s="163"/>
      <c r="C5" s="164">
        <f>C4/B4-1</f>
        <v>0.27916442083525439</v>
      </c>
      <c r="D5" s="164">
        <f t="shared" ref="D5:K5" si="0">D4/C4-1</f>
        <v>0.23097527760185499</v>
      </c>
      <c r="E5" s="164">
        <f t="shared" si="0"/>
        <v>0.21554361728287486</v>
      </c>
      <c r="F5" s="164">
        <f t="shared" si="0"/>
        <v>8.0189897548796907E-3</v>
      </c>
      <c r="G5" s="164">
        <f t="shared" si="0"/>
        <v>6.3419430489003892E-2</v>
      </c>
      <c r="H5" s="164">
        <f t="shared" si="0"/>
        <v>9.1386233371723469E-2</v>
      </c>
      <c r="I5" s="164">
        <f t="shared" si="0"/>
        <v>3.1081771813248338E-2</v>
      </c>
      <c r="J5" s="164">
        <f t="shared" si="0"/>
        <v>2.0307495420617272E-3</v>
      </c>
      <c r="K5" s="164">
        <f t="shared" si="0"/>
        <v>0.13087613322732339</v>
      </c>
      <c r="L5" s="165"/>
    </row>
    <row r="6" spans="1:15" x14ac:dyDescent="0.25">
      <c r="A6" s="166" t="s">
        <v>5</v>
      </c>
      <c r="B6" s="167">
        <f>SUM('Data Sheet'!B18,'Data Sheet'!B20:B24, -1*'Data Sheet'!B19)</f>
        <v>10634.77</v>
      </c>
      <c r="C6" s="167">
        <f>SUM('Data Sheet'!C18,'Data Sheet'!C20:C24, -1*'Data Sheet'!C19)</f>
        <v>13096.21</v>
      </c>
      <c r="D6" s="167">
        <f>SUM('Data Sheet'!D18,'Data Sheet'!D20:D24, -1*'Data Sheet'!D19)</f>
        <v>16865.239999999998</v>
      </c>
      <c r="E6" s="167">
        <f>SUM('Data Sheet'!E18,'Data Sheet'!E20:E24, -1*'Data Sheet'!E19)</f>
        <v>19960.25</v>
      </c>
      <c r="F6" s="167">
        <f>SUM('Data Sheet'!F18,'Data Sheet'!F20:F24, -1*'Data Sheet'!F19)</f>
        <v>20483.629999999997</v>
      </c>
      <c r="G6" s="167">
        <f>SUM('Data Sheet'!G18,'Data Sheet'!G20:G24, -1*'Data Sheet'!G19)</f>
        <v>21735.41</v>
      </c>
      <c r="H6" s="167">
        <f>SUM('Data Sheet'!H18,'Data Sheet'!H20:H24, -1*'Data Sheet'!H19)</f>
        <v>24198.160000000003</v>
      </c>
      <c r="I6" s="167">
        <f>SUM('Data Sheet'!I18,'Data Sheet'!I20:I24, -1*'Data Sheet'!I19)</f>
        <v>23987.73</v>
      </c>
      <c r="J6" s="167">
        <f>SUM('Data Sheet'!J18,'Data Sheet'!J20:J24, -1*'Data Sheet'!J19)</f>
        <v>23865.649999999994</v>
      </c>
      <c r="K6" s="167">
        <f>SUM('Data Sheet'!K18,'Data Sheet'!K20:K24, -1*'Data Sheet'!K19)</f>
        <v>26950.3</v>
      </c>
      <c r="L6" s="168">
        <f>SUM(Quarters!H6:K6)</f>
        <v>29098.26</v>
      </c>
      <c r="M6" s="393" t="s">
        <v>104</v>
      </c>
      <c r="N6" s="393"/>
      <c r="O6" s="393"/>
    </row>
    <row r="7" spans="1:15" ht="13" x14ac:dyDescent="0.3">
      <c r="A7" s="169" t="s">
        <v>102</v>
      </c>
      <c r="B7" s="170">
        <f>'Data Sheet'!B18/'Data Sheet'!B17</f>
        <v>0.71110761158264546</v>
      </c>
      <c r="C7" s="170">
        <f>'Data Sheet'!C18/'Data Sheet'!C17</f>
        <v>0.6809422154081245</v>
      </c>
      <c r="D7" s="170">
        <f>'Data Sheet'!D18/'Data Sheet'!D17</f>
        <v>0.72869476279169998</v>
      </c>
      <c r="E7" s="170">
        <f>'Data Sheet'!E18/'Data Sheet'!E17</f>
        <v>0.73647686100742904</v>
      </c>
      <c r="F7" s="170">
        <f>'Data Sheet'!F18/'Data Sheet'!F17</f>
        <v>0.73059490216092071</v>
      </c>
      <c r="G7" s="170">
        <f>'Data Sheet'!G18/'Data Sheet'!G17</f>
        <v>0.72091755365973409</v>
      </c>
      <c r="H7" s="170">
        <f>'Data Sheet'!H18/'Data Sheet'!H17</f>
        <v>0.71718922759585724</v>
      </c>
      <c r="I7" s="170">
        <f>'Data Sheet'!I18/'Data Sheet'!I17</f>
        <v>0.67932088022585757</v>
      </c>
      <c r="J7" s="170">
        <f>'Data Sheet'!J18/'Data Sheet'!J17</f>
        <v>0.66574750021578599</v>
      </c>
      <c r="K7" s="170">
        <f>'Data Sheet'!K18/'Data Sheet'!K17</f>
        <v>0.67817119752135324</v>
      </c>
      <c r="L7" s="171"/>
      <c r="M7" s="393"/>
      <c r="N7" s="393"/>
      <c r="O7" s="393"/>
    </row>
    <row r="8" spans="1:15" ht="13" x14ac:dyDescent="0.3">
      <c r="A8" s="169" t="s">
        <v>76</v>
      </c>
      <c r="B8" s="170">
        <f>'Data Sheet'!B20/'Data Sheet'!B17</f>
        <v>5.9825701835845412E-3</v>
      </c>
      <c r="C8" s="170">
        <f>'Data Sheet'!C20/'Data Sheet'!C17</f>
        <v>5.1433604642160454E-3</v>
      </c>
      <c r="D8" s="170">
        <f>'Data Sheet'!D20/'Data Sheet'!D17</f>
        <v>5.1794186286887312E-3</v>
      </c>
      <c r="E8" s="170">
        <f>'Data Sheet'!E20/'Data Sheet'!E17</f>
        <v>4.7779743271881836E-3</v>
      </c>
      <c r="F8" s="170">
        <f>'Data Sheet'!F20/'Data Sheet'!F17</f>
        <v>5.4350135538753395E-3</v>
      </c>
      <c r="G8" s="170">
        <f>'Data Sheet'!G20/'Data Sheet'!G17</f>
        <v>5.4384745367741924E-3</v>
      </c>
      <c r="H8" s="170">
        <f>'Data Sheet'!H20/'Data Sheet'!H17</f>
        <v>5.744726357879015E-3</v>
      </c>
      <c r="I8" s="170">
        <f>'Data Sheet'!I20/'Data Sheet'!I17</f>
        <v>4.2938961490997692E-3</v>
      </c>
      <c r="J8" s="170">
        <f>'Data Sheet'!J20/'Data Sheet'!J17</f>
        <v>3.9515151685271047E-3</v>
      </c>
      <c r="K8" s="170">
        <f>'Data Sheet'!K20/'Data Sheet'!K17</f>
        <v>4.3055504275609831E-3</v>
      </c>
      <c r="L8" s="171"/>
      <c r="M8" s="393"/>
      <c r="N8" s="393"/>
      <c r="O8" s="393"/>
    </row>
    <row r="9" spans="1:15" ht="13" x14ac:dyDescent="0.3">
      <c r="A9" s="169" t="s">
        <v>77</v>
      </c>
      <c r="B9" s="170">
        <f>'Data Sheet'!B21/'Data Sheet'!B17</f>
        <v>9.1995207449882769E-3</v>
      </c>
      <c r="C9" s="170">
        <f>'Data Sheet'!C21/'Data Sheet'!C17</f>
        <v>9.1057469834714411E-3</v>
      </c>
      <c r="D9" s="170">
        <f>'Data Sheet'!D21/'Data Sheet'!D17</f>
        <v>8.4972984230791641E-3</v>
      </c>
      <c r="E9" s="170">
        <f>'Data Sheet'!E21/'Data Sheet'!E17</f>
        <v>7.9545256950773642E-3</v>
      </c>
      <c r="F9" s="170">
        <f>'Data Sheet'!F21/'Data Sheet'!F17</f>
        <v>9.001977860250563E-3</v>
      </c>
      <c r="G9" s="170">
        <f>'Data Sheet'!G21/'Data Sheet'!G17</f>
        <v>9.2029940491709945E-3</v>
      </c>
      <c r="H9" s="170">
        <f>'Data Sheet'!H21/'Data Sheet'!H17</f>
        <v>8.8960424573957878E-3</v>
      </c>
      <c r="I9" s="170">
        <f>'Data Sheet'!I21/'Data Sheet'!I17</f>
        <v>7.377991540887468E-3</v>
      </c>
      <c r="J9" s="170">
        <f>'Data Sheet'!J21/'Data Sheet'!J17</f>
        <v>7.1791823710915552E-3</v>
      </c>
      <c r="K9" s="170">
        <f>'Data Sheet'!K21/'Data Sheet'!K17</f>
        <v>7.4562937144300317E-3</v>
      </c>
      <c r="L9" s="171"/>
      <c r="M9" s="393"/>
      <c r="N9" s="393"/>
      <c r="O9" s="393"/>
    </row>
    <row r="10" spans="1:15" ht="13" x14ac:dyDescent="0.3">
      <c r="A10" s="169" t="s">
        <v>78</v>
      </c>
      <c r="B10" s="170">
        <f>'Data Sheet'!B22/'Data Sheet'!B17</f>
        <v>3.0092246848800883E-2</v>
      </c>
      <c r="C10" s="170">
        <f>'Data Sheet'!C22/'Data Sheet'!C17</f>
        <v>2.7784299963574472E-2</v>
      </c>
      <c r="D10" s="170">
        <f>'Data Sheet'!D22/'Data Sheet'!D17</f>
        <v>3.19080437964257E-2</v>
      </c>
      <c r="E10" s="170">
        <f>'Data Sheet'!E22/'Data Sheet'!E17</f>
        <v>3.1193819253803063E-2</v>
      </c>
      <c r="F10" s="170">
        <f>'Data Sheet'!F22/'Data Sheet'!F17</f>
        <v>3.4538715951752154E-2</v>
      </c>
      <c r="G10" s="170">
        <f>'Data Sheet'!G22/'Data Sheet'!G17</f>
        <v>3.6796150576032804E-2</v>
      </c>
      <c r="H10" s="170">
        <f>'Data Sheet'!H22/'Data Sheet'!H17</f>
        <v>4.2517935277122235E-2</v>
      </c>
      <c r="I10" s="170">
        <f>'Data Sheet'!I22/'Data Sheet'!I17</f>
        <v>4.6266001469621378E-2</v>
      </c>
      <c r="J10" s="170">
        <f>'Data Sheet'!J22/'Data Sheet'!J17</f>
        <v>4.8982016430612001E-2</v>
      </c>
      <c r="K10" s="170">
        <f>'Data Sheet'!K22/'Data Sheet'!K17</f>
        <v>4.7784876990700421E-2</v>
      </c>
      <c r="L10" s="171"/>
      <c r="M10" s="393"/>
      <c r="N10" s="393"/>
      <c r="O10" s="393"/>
    </row>
    <row r="11" spans="1:15" ht="13" x14ac:dyDescent="0.3">
      <c r="A11" s="169" t="s">
        <v>101</v>
      </c>
      <c r="B11" s="170">
        <f>'Data Sheet'!B23/'Data Sheet'!B17</f>
        <v>8.501175408633084E-2</v>
      </c>
      <c r="C11" s="170">
        <f>'Data Sheet'!C23/'Data Sheet'!C17</f>
        <v>8.8935397361878082E-2</v>
      </c>
      <c r="D11" s="170">
        <f>'Data Sheet'!D23/'Data Sheet'!D17</f>
        <v>7.1996857396639732E-2</v>
      </c>
      <c r="E11" s="170">
        <f>'Data Sheet'!E23/'Data Sheet'!E17</f>
        <v>4.8999895245902821E-2</v>
      </c>
      <c r="F11" s="170">
        <f>'Data Sheet'!F23/'Data Sheet'!F17</f>
        <v>5.8570917081753653E-2</v>
      </c>
      <c r="G11" s="170">
        <f>'Data Sheet'!G23/'Data Sheet'!G17</f>
        <v>6.2980035583908023E-2</v>
      </c>
      <c r="H11" s="170">
        <f>'Data Sheet'!H23/'Data Sheet'!H17</f>
        <v>6.9987638343610548E-2</v>
      </c>
      <c r="I11" s="170">
        <f>'Data Sheet'!I23/'Data Sheet'!I17</f>
        <v>7.0547451542926659E-2</v>
      </c>
      <c r="J11" s="170">
        <f>'Data Sheet'!J23/'Data Sheet'!J17</f>
        <v>7.2886542883869254E-2</v>
      </c>
      <c r="K11" s="170">
        <f>'Data Sheet'!K23/'Data Sheet'!K17</f>
        <v>6.6989363177537786E-2</v>
      </c>
      <c r="L11" s="171"/>
      <c r="M11" s="393"/>
      <c r="N11" s="393"/>
      <c r="O11" s="393"/>
    </row>
    <row r="12" spans="1:15" s="154" customFormat="1" ht="13" x14ac:dyDescent="0.3">
      <c r="A12" s="159" t="s">
        <v>6</v>
      </c>
      <c r="B12" s="160">
        <f>B4-B6</f>
        <v>1684.3500000000004</v>
      </c>
      <c r="C12" s="160">
        <f t="shared" ref="C12:L12" si="1">C4-C6</f>
        <v>2661.9700000000012</v>
      </c>
      <c r="D12" s="160">
        <f t="shared" si="1"/>
        <v>2532.6900000000023</v>
      </c>
      <c r="E12" s="160">
        <f t="shared" si="1"/>
        <v>3618.7799999999988</v>
      </c>
      <c r="F12" s="160">
        <f t="shared" si="1"/>
        <v>3284.4800000000032</v>
      </c>
      <c r="G12" s="160">
        <f t="shared" si="1"/>
        <v>3540.0600000000013</v>
      </c>
      <c r="H12" s="160">
        <f t="shared" si="1"/>
        <v>3387.1399999999958</v>
      </c>
      <c r="I12" s="160">
        <f t="shared" si="1"/>
        <v>4454.9700000000012</v>
      </c>
      <c r="J12" s="160">
        <f t="shared" si="1"/>
        <v>4634.8100000000049</v>
      </c>
      <c r="K12" s="160">
        <f t="shared" si="1"/>
        <v>5280.1900000000023</v>
      </c>
      <c r="L12" s="161">
        <f t="shared" si="1"/>
        <v>5231.3600000000042</v>
      </c>
    </row>
    <row r="13" spans="1:15" s="154" customFormat="1" ht="13" x14ac:dyDescent="0.3">
      <c r="A13" s="162" t="s">
        <v>90</v>
      </c>
      <c r="B13" s="164">
        <f t="shared" ref="B13:L13" si="2">B12/B4</f>
        <v>0.13672648695686057</v>
      </c>
      <c r="C13" s="164">
        <f t="shared" si="2"/>
        <v>0.16892623386710909</v>
      </c>
      <c r="D13" s="164">
        <f t="shared" si="2"/>
        <v>0.13056496234392032</v>
      </c>
      <c r="E13" s="164">
        <f t="shared" si="2"/>
        <v>0.15347450679692926</v>
      </c>
      <c r="F13" s="164">
        <f t="shared" si="2"/>
        <v>0.13818852235200876</v>
      </c>
      <c r="G13" s="164">
        <f t="shared" si="2"/>
        <v>0.14005911660594247</v>
      </c>
      <c r="H13" s="164">
        <f t="shared" si="2"/>
        <v>0.12278786165095162</v>
      </c>
      <c r="I13" s="164">
        <f t="shared" si="2"/>
        <v>0.15662964486493902</v>
      </c>
      <c r="J13" s="164">
        <f t="shared" si="2"/>
        <v>0.16262228749992122</v>
      </c>
      <c r="K13" s="164">
        <f t="shared" si="2"/>
        <v>0.16382593004326035</v>
      </c>
      <c r="L13" s="165">
        <f t="shared" si="2"/>
        <v>0.15238619011803811</v>
      </c>
    </row>
    <row r="14" spans="1:15" x14ac:dyDescent="0.25">
      <c r="A14" s="166" t="s">
        <v>7</v>
      </c>
      <c r="B14" s="167">
        <f>'Data Sheet'!B25</f>
        <v>280.3</v>
      </c>
      <c r="C14" s="167">
        <f>'Data Sheet'!C25</f>
        <v>363.33</v>
      </c>
      <c r="D14" s="167">
        <f>'Data Sheet'!D25</f>
        <v>289.62</v>
      </c>
      <c r="E14" s="167">
        <f>'Data Sheet'!E25</f>
        <v>364.57</v>
      </c>
      <c r="F14" s="167">
        <f>'Data Sheet'!F25</f>
        <v>398.38</v>
      </c>
      <c r="G14" s="167">
        <f>'Data Sheet'!G25</f>
        <v>446.38</v>
      </c>
      <c r="H14" s="167">
        <f>'Data Sheet'!H25</f>
        <v>492.74</v>
      </c>
      <c r="I14" s="167">
        <f>'Data Sheet'!I25</f>
        <v>422.43</v>
      </c>
      <c r="J14" s="167">
        <f>'Data Sheet'!J25</f>
        <v>522.42999999999995</v>
      </c>
      <c r="K14" s="167">
        <f>'Data Sheet'!K25</f>
        <v>525.82000000000005</v>
      </c>
      <c r="L14" s="168">
        <f>SUM(Quarters!H8:K8)</f>
        <v>693.53</v>
      </c>
    </row>
    <row r="15" spans="1:15" ht="13" x14ac:dyDescent="0.3">
      <c r="A15" s="162" t="s">
        <v>184</v>
      </c>
      <c r="B15" s="172">
        <f>B14/B4</f>
        <v>2.2753248608666853E-2</v>
      </c>
      <c r="C15" s="172">
        <f t="shared" ref="C15:L15" si="3">C14/C4</f>
        <v>2.3056596637428942E-2</v>
      </c>
      <c r="D15" s="172">
        <f t="shared" si="3"/>
        <v>1.4930459074756946E-2</v>
      </c>
      <c r="E15" s="172">
        <f t="shared" si="3"/>
        <v>1.5461619922448041E-2</v>
      </c>
      <c r="F15" s="172">
        <f t="shared" si="3"/>
        <v>1.6761113946376048E-2</v>
      </c>
      <c r="G15" s="172">
        <f t="shared" si="3"/>
        <v>1.7660601365671932E-2</v>
      </c>
      <c r="H15" s="172">
        <f t="shared" si="3"/>
        <v>1.7862412226801957E-2</v>
      </c>
      <c r="I15" s="172">
        <f t="shared" si="3"/>
        <v>1.4851965530698561E-2</v>
      </c>
      <c r="J15" s="172">
        <f t="shared" si="3"/>
        <v>1.8330581330967991E-2</v>
      </c>
      <c r="K15" s="172">
        <f t="shared" si="3"/>
        <v>1.6314365682929426E-2</v>
      </c>
      <c r="L15" s="173">
        <f t="shared" si="3"/>
        <v>2.0202087876300404E-2</v>
      </c>
    </row>
    <row r="16" spans="1:15" x14ac:dyDescent="0.25">
      <c r="A16" s="166" t="s">
        <v>8</v>
      </c>
      <c r="B16" s="167">
        <f>'Data Sheet'!B26</f>
        <v>180.66</v>
      </c>
      <c r="C16" s="167">
        <f>'Data Sheet'!C26</f>
        <v>191.47</v>
      </c>
      <c r="D16" s="167">
        <f>'Data Sheet'!D26</f>
        <v>402.38</v>
      </c>
      <c r="E16" s="167">
        <f>'Data Sheet'!E26</f>
        <v>1097.3399999999999</v>
      </c>
      <c r="F16" s="167">
        <f>'Data Sheet'!F26</f>
        <v>1141.75</v>
      </c>
      <c r="G16" s="167">
        <f>'Data Sheet'!G26</f>
        <v>1107.3699999999999</v>
      </c>
      <c r="H16" s="167">
        <f>'Data Sheet'!H26</f>
        <v>539.97</v>
      </c>
      <c r="I16" s="167">
        <f>'Data Sheet'!I26</f>
        <v>437.64</v>
      </c>
      <c r="J16" s="167">
        <f>'Data Sheet'!J26</f>
        <v>492.73</v>
      </c>
      <c r="K16" s="167">
        <f>'Data Sheet'!K26</f>
        <v>555.6</v>
      </c>
      <c r="L16" s="168">
        <f>SUM(Quarters!H9:K9)</f>
        <v>600.12</v>
      </c>
    </row>
    <row r="17" spans="1:13" x14ac:dyDescent="0.25">
      <c r="A17" s="166" t="s">
        <v>9</v>
      </c>
      <c r="B17" s="167">
        <f>'Data Sheet'!B27</f>
        <v>2.5299999999999998</v>
      </c>
      <c r="C17" s="167">
        <f>'Data Sheet'!C27</f>
        <v>2.1</v>
      </c>
      <c r="D17" s="167">
        <f>'Data Sheet'!D27</f>
        <v>15.17</v>
      </c>
      <c r="E17" s="167">
        <f>'Data Sheet'!E27</f>
        <v>21.3</v>
      </c>
      <c r="F17" s="167">
        <f>'Data Sheet'!F27</f>
        <v>11.91</v>
      </c>
      <c r="G17" s="167">
        <f>'Data Sheet'!G27</f>
        <v>11.82</v>
      </c>
      <c r="H17" s="167">
        <f>'Data Sheet'!H27</f>
        <v>11.09</v>
      </c>
      <c r="I17" s="167">
        <f>'Data Sheet'!I27</f>
        <v>4.8899999999999997</v>
      </c>
      <c r="J17" s="167">
        <f>'Data Sheet'!J27</f>
        <v>6.05</v>
      </c>
      <c r="K17" s="167">
        <f>'Data Sheet'!K27</f>
        <v>6.25</v>
      </c>
      <c r="L17" s="168">
        <f>SUM(Quarters!H10:K10)</f>
        <v>7.95</v>
      </c>
    </row>
    <row r="18" spans="1:13" ht="13" x14ac:dyDescent="0.3">
      <c r="A18" s="162" t="s">
        <v>99</v>
      </c>
      <c r="B18" s="174">
        <f>(B19+B17)/B17</f>
        <v>705.13438735177886</v>
      </c>
      <c r="C18" s="174">
        <f t="shared" ref="C18:L18" si="4">(C19+C17)/C17</f>
        <v>1349.4428571428577</v>
      </c>
      <c r="D18" s="174">
        <f t="shared" si="4"/>
        <v>159.52076466710628</v>
      </c>
      <c r="E18" s="174">
        <f t="shared" si="4"/>
        <v>135.4934272300469</v>
      </c>
      <c r="F18" s="174">
        <f t="shared" si="4"/>
        <v>213.35936188077272</v>
      </c>
      <c r="G18" s="174">
        <f t="shared" si="4"/>
        <v>243.57614213197982</v>
      </c>
      <c r="H18" s="174">
        <f t="shared" si="4"/>
        <v>301.1641118124432</v>
      </c>
      <c r="I18" s="174">
        <f t="shared" si="4"/>
        <v>907.92638036809842</v>
      </c>
      <c r="J18" s="174">
        <f t="shared" si="4"/>
        <v>770.99338842975305</v>
      </c>
      <c r="K18" s="174">
        <f t="shared" si="4"/>
        <v>840.06560000000025</v>
      </c>
      <c r="L18" s="175">
        <f t="shared" si="4"/>
        <v>669.78238993710738</v>
      </c>
    </row>
    <row r="19" spans="1:13" ht="13" x14ac:dyDescent="0.3">
      <c r="A19" s="166" t="s">
        <v>103</v>
      </c>
      <c r="B19" s="167">
        <f>B12+B14-B16-B17</f>
        <v>1781.4600000000003</v>
      </c>
      <c r="C19" s="167">
        <f t="shared" ref="C19:L19" si="5">C12+C14-C16-C17</f>
        <v>2831.7300000000014</v>
      </c>
      <c r="D19" s="167">
        <f t="shared" si="5"/>
        <v>2404.760000000002</v>
      </c>
      <c r="E19" s="167">
        <f t="shared" si="5"/>
        <v>2864.7099999999991</v>
      </c>
      <c r="F19" s="167">
        <f t="shared" si="5"/>
        <v>2529.2000000000035</v>
      </c>
      <c r="G19" s="167">
        <f t="shared" si="5"/>
        <v>2867.2500000000014</v>
      </c>
      <c r="H19" s="167">
        <f t="shared" si="5"/>
        <v>3328.8199999999952</v>
      </c>
      <c r="I19" s="167">
        <f t="shared" si="5"/>
        <v>4434.8700000000008</v>
      </c>
      <c r="J19" s="167">
        <f t="shared" si="5"/>
        <v>4658.4600000000055</v>
      </c>
      <c r="K19" s="167">
        <f t="shared" si="5"/>
        <v>5244.1600000000017</v>
      </c>
      <c r="L19" s="168">
        <f t="shared" si="5"/>
        <v>5316.8200000000043</v>
      </c>
      <c r="M19" s="154"/>
    </row>
    <row r="20" spans="1:13" s="154" customFormat="1" ht="13" x14ac:dyDescent="0.3">
      <c r="A20" s="162" t="s">
        <v>92</v>
      </c>
      <c r="B20" s="163"/>
      <c r="C20" s="164">
        <f>C19/B19-1</f>
        <v>0.58955575763699497</v>
      </c>
      <c r="D20" s="164">
        <f t="shared" ref="D20" si="6">D19/C19-1</f>
        <v>-0.15078061820865662</v>
      </c>
      <c r="E20" s="164">
        <f t="shared" ref="E20" si="7">E19/D19-1</f>
        <v>0.19126648813187042</v>
      </c>
      <c r="F20" s="164">
        <f t="shared" ref="F20" si="8">F19/E19-1</f>
        <v>-0.11711831215026858</v>
      </c>
      <c r="G20" s="164">
        <f t="shared" ref="G20" si="9">G19/F19-1</f>
        <v>0.13365886446307029</v>
      </c>
      <c r="H20" s="164">
        <f t="shared" ref="H20" si="10">H19/G19-1</f>
        <v>0.16098003313279041</v>
      </c>
      <c r="I20" s="164">
        <f t="shared" ref="I20" si="11">I19/H19-1</f>
        <v>0.3322648866565352</v>
      </c>
      <c r="J20" s="164">
        <f t="shared" ref="J20" si="12">J19/I19-1</f>
        <v>5.0416359442329695E-2</v>
      </c>
      <c r="K20" s="164">
        <f t="shared" ref="K20" si="13">K19/J19-1</f>
        <v>0.12572824495648671</v>
      </c>
      <c r="L20" s="165"/>
    </row>
    <row r="21" spans="1:13" ht="13" x14ac:dyDescent="0.3">
      <c r="A21" s="162" t="s">
        <v>100</v>
      </c>
      <c r="B21" s="164">
        <f t="shared" ref="B21:L21" si="14">B19/B4</f>
        <v>0.14460935521368409</v>
      </c>
      <c r="C21" s="164">
        <f t="shared" si="14"/>
        <v>0.17969905154021601</v>
      </c>
      <c r="D21" s="164">
        <f t="shared" si="14"/>
        <v>0.12396992875012963</v>
      </c>
      <c r="E21" s="164">
        <f t="shared" si="14"/>
        <v>0.12149397155014431</v>
      </c>
      <c r="F21" s="164">
        <f t="shared" si="14"/>
        <v>0.1064114900175068</v>
      </c>
      <c r="G21" s="164">
        <f t="shared" si="14"/>
        <v>0.11344002703016012</v>
      </c>
      <c r="H21" s="164">
        <f t="shared" si="14"/>
        <v>0.12067369214762919</v>
      </c>
      <c r="I21" s="164">
        <f t="shared" si="14"/>
        <v>0.1559229609003365</v>
      </c>
      <c r="J21" s="164">
        <f t="shared" si="14"/>
        <v>0.16345209866788135</v>
      </c>
      <c r="K21" s="164">
        <f t="shared" si="14"/>
        <v>0.16270804446348788</v>
      </c>
      <c r="L21" s="165">
        <f t="shared" si="14"/>
        <v>0.15487558557304171</v>
      </c>
    </row>
    <row r="22" spans="1:13" x14ac:dyDescent="0.25">
      <c r="A22" s="166" t="s">
        <v>11</v>
      </c>
      <c r="B22" s="167">
        <f>'Data Sheet'!B29</f>
        <v>499.7</v>
      </c>
      <c r="C22" s="167">
        <f>'Data Sheet'!C29</f>
        <v>599.9</v>
      </c>
      <c r="D22" s="167">
        <f>'Data Sheet'!D29</f>
        <v>476.86</v>
      </c>
      <c r="E22" s="167">
        <f>'Data Sheet'!E29</f>
        <v>486.58</v>
      </c>
      <c r="F22" s="167">
        <f>'Data Sheet'!F29</f>
        <v>411.04</v>
      </c>
      <c r="G22" s="167">
        <f>'Data Sheet'!G29</f>
        <v>758.17</v>
      </c>
      <c r="H22" s="167">
        <f>'Data Sheet'!H29</f>
        <v>943.18</v>
      </c>
      <c r="I22" s="167">
        <f>'Data Sheet'!I29</f>
        <v>1274.68</v>
      </c>
      <c r="J22" s="167">
        <f>'Data Sheet'!J29</f>
        <v>1281.3399999999999</v>
      </c>
      <c r="K22" s="167">
        <f>'Data Sheet'!K29</f>
        <v>1546.8</v>
      </c>
      <c r="L22" s="168">
        <f>SUM(Quarters!H14:K14)</f>
        <v>1694.87</v>
      </c>
    </row>
    <row r="23" spans="1:13" s="154" customFormat="1" ht="13" x14ac:dyDescent="0.3">
      <c r="A23" s="159" t="s">
        <v>12</v>
      </c>
      <c r="B23" s="160">
        <f>B19-B22</f>
        <v>1281.7600000000002</v>
      </c>
      <c r="C23" s="160">
        <f t="shared" ref="C23:L23" si="15">C19-C22</f>
        <v>2231.8300000000013</v>
      </c>
      <c r="D23" s="160">
        <f t="shared" si="15"/>
        <v>1927.9000000000019</v>
      </c>
      <c r="E23" s="160">
        <f t="shared" si="15"/>
        <v>2378.1299999999992</v>
      </c>
      <c r="F23" s="160">
        <f t="shared" si="15"/>
        <v>2118.1600000000035</v>
      </c>
      <c r="G23" s="160">
        <f t="shared" si="15"/>
        <v>2109.0800000000013</v>
      </c>
      <c r="H23" s="160">
        <f t="shared" si="15"/>
        <v>2385.6399999999953</v>
      </c>
      <c r="I23" s="160">
        <f t="shared" si="15"/>
        <v>3160.1900000000005</v>
      </c>
      <c r="J23" s="160">
        <f t="shared" si="15"/>
        <v>3377.1200000000053</v>
      </c>
      <c r="K23" s="160">
        <f t="shared" si="15"/>
        <v>3697.3600000000015</v>
      </c>
      <c r="L23" s="161">
        <f t="shared" si="15"/>
        <v>3621.9500000000044</v>
      </c>
    </row>
    <row r="24" spans="1:13" s="154" customFormat="1" ht="13" x14ac:dyDescent="0.3">
      <c r="A24" s="162" t="s">
        <v>92</v>
      </c>
      <c r="B24" s="163"/>
      <c r="C24" s="164">
        <f>C23/B23-1</f>
        <v>0.74122300586693357</v>
      </c>
      <c r="D24" s="164">
        <f t="shared" ref="D24" si="16">D23/C23-1</f>
        <v>-0.13617972695052905</v>
      </c>
      <c r="E24" s="164">
        <f t="shared" ref="E24" si="17">E23/D23-1</f>
        <v>0.23353389698635652</v>
      </c>
      <c r="F24" s="164">
        <f t="shared" ref="F24" si="18">F23/E23-1</f>
        <v>-0.10931698435325055</v>
      </c>
      <c r="G24" s="164">
        <f t="shared" ref="G24" si="19">G23/F23-1</f>
        <v>-4.2867394342269716E-3</v>
      </c>
      <c r="H24" s="164">
        <f t="shared" ref="H24" si="20">H23/G23-1</f>
        <v>0.13112826445653747</v>
      </c>
      <c r="I24" s="164">
        <f t="shared" ref="I24" si="21">I23/H23-1</f>
        <v>0.32467178618735715</v>
      </c>
      <c r="J24" s="164">
        <f t="shared" ref="J24" si="22">J23/I23-1</f>
        <v>6.8644606811617326E-2</v>
      </c>
      <c r="K24" s="164">
        <f t="shared" ref="K24" si="23">K23/J23-1</f>
        <v>9.4826360922915187E-2</v>
      </c>
      <c r="L24" s="165"/>
    </row>
    <row r="25" spans="1:13" ht="13" x14ac:dyDescent="0.3">
      <c r="A25" s="162" t="s">
        <v>91</v>
      </c>
      <c r="B25" s="164">
        <f t="shared" ref="B25:L25" si="24">B23/B4</f>
        <v>0.10404639292416992</v>
      </c>
      <c r="C25" s="164">
        <f t="shared" si="24"/>
        <v>0.14162993442136093</v>
      </c>
      <c r="D25" s="164">
        <f t="shared" si="24"/>
        <v>9.9386893343774402E-2</v>
      </c>
      <c r="E25" s="164">
        <f t="shared" si="24"/>
        <v>0.10085783851159269</v>
      </c>
      <c r="F25" s="164">
        <f t="shared" si="24"/>
        <v>8.9117729596505713E-2</v>
      </c>
      <c r="G25" s="164">
        <f t="shared" si="24"/>
        <v>8.3443750007418313E-2</v>
      </c>
      <c r="H25" s="164">
        <f t="shared" si="24"/>
        <v>8.6482293105385674E-2</v>
      </c>
      <c r="I25" s="164">
        <f t="shared" si="24"/>
        <v>0.11110724368642923</v>
      </c>
      <c r="J25" s="164">
        <f t="shared" si="24"/>
        <v>0.11849352606940398</v>
      </c>
      <c r="K25" s="164">
        <f t="shared" si="24"/>
        <v>0.11471622057250763</v>
      </c>
      <c r="L25" s="165">
        <f t="shared" si="24"/>
        <v>0.10550510026035838</v>
      </c>
      <c r="M25" s="154"/>
    </row>
    <row r="26" spans="1:13" x14ac:dyDescent="0.25">
      <c r="A26" s="166" t="s">
        <v>53</v>
      </c>
      <c r="B26" s="176">
        <f>IF('Data Sheet'!B93&gt;0,B23/'Data Sheet'!B93,0)</f>
        <v>64.188294209702676</v>
      </c>
      <c r="C26" s="176">
        <f>IF('Data Sheet'!C93&gt;0,C23/'Data Sheet'!C93,0)</f>
        <v>111.76613458528958</v>
      </c>
      <c r="D26" s="176">
        <f>IF('Data Sheet'!D93&gt;0,D23/'Data Sheet'!D93,0)</f>
        <v>96.545852895148769</v>
      </c>
      <c r="E26" s="176">
        <f>IF('Data Sheet'!E93&gt;0,E23/'Data Sheet'!E93,0)</f>
        <v>119.09258215962437</v>
      </c>
      <c r="F26" s="176">
        <f>IF('Data Sheet'!F93&gt;0,F23/'Data Sheet'!F93,0)</f>
        <v>106.0737402190925</v>
      </c>
      <c r="G26" s="176">
        <f>IF('Data Sheet'!G93&gt;0,G23/'Data Sheet'!G93,0)</f>
        <v>105.61902973395938</v>
      </c>
      <c r="H26" s="176">
        <f>IF('Data Sheet'!H93&gt;0,H23/'Data Sheet'!H93,0)</f>
        <v>119.46866979655688</v>
      </c>
      <c r="I26" s="176">
        <f>IF('Data Sheet'!I93&gt;0,I23/'Data Sheet'!I93,0)</f>
        <v>158.25472519196848</v>
      </c>
      <c r="J26" s="176">
        <f>IF('Data Sheet'!J93&gt;0,J23/'Data Sheet'!J93,0)</f>
        <v>169.11234217939923</v>
      </c>
      <c r="K26" s="176">
        <f>IF('Data Sheet'!K93&gt;0,K23/'Data Sheet'!K93,0)</f>
        <v>185.14865017542249</v>
      </c>
      <c r="L26" s="177">
        <f>IF('Data Sheet'!$B6&gt;0,'Profit &amp; Loss'!L23/'Data Sheet'!$B6,0)</f>
        <v>181.34513983494122</v>
      </c>
    </row>
    <row r="27" spans="1:13" s="154" customFormat="1" ht="13" x14ac:dyDescent="0.3">
      <c r="A27" s="162" t="s">
        <v>92</v>
      </c>
      <c r="B27" s="163"/>
      <c r="C27" s="164">
        <f>C26/B26-1</f>
        <v>0.74122300586693357</v>
      </c>
      <c r="D27" s="164">
        <f t="shared" ref="D27" si="25">D26/C26-1</f>
        <v>-0.13617972695052893</v>
      </c>
      <c r="E27" s="164">
        <f t="shared" ref="E27" si="26">E26/D26-1</f>
        <v>0.23353389698635652</v>
      </c>
      <c r="F27" s="164">
        <f t="shared" ref="F27" si="27">F26/E26-1</f>
        <v>-0.10931698435325066</v>
      </c>
      <c r="G27" s="164">
        <f t="shared" ref="G27" si="28">G26/F26-1</f>
        <v>-4.2867394342268605E-3</v>
      </c>
      <c r="H27" s="164">
        <f t="shared" ref="H27" si="29">H26/G26-1</f>
        <v>0.13112826445653725</v>
      </c>
      <c r="I27" s="164">
        <f t="shared" ref="I27" si="30">I26/H26-1</f>
        <v>0.32465461833182152</v>
      </c>
      <c r="J27" s="164">
        <f t="shared" ref="J27" si="31">J26/I26-1</f>
        <v>6.8608485302793287E-2</v>
      </c>
      <c r="K27" s="164">
        <f t="shared" ref="K27" si="32">K26/J26-1</f>
        <v>9.4826360922915187E-2</v>
      </c>
      <c r="L27" s="165"/>
    </row>
    <row r="28" spans="1:13" ht="13" x14ac:dyDescent="0.3">
      <c r="A28" s="178" t="s">
        <v>13</v>
      </c>
      <c r="B28" s="179">
        <f t="shared" ref="B28:K28" si="33">IF(B29&gt;0,B29/B26,"")</f>
        <v>17.022747285202566</v>
      </c>
      <c r="C28" s="179">
        <f t="shared" si="33"/>
        <v>17.370710280030838</v>
      </c>
      <c r="D28" s="179">
        <f t="shared" si="33"/>
        <v>17.751178125291748</v>
      </c>
      <c r="E28" s="179">
        <f t="shared" si="33"/>
        <v>17.694489965592719</v>
      </c>
      <c r="F28" s="179">
        <f t="shared" si="33"/>
        <v>14.302809506541031</v>
      </c>
      <c r="G28" s="179">
        <f t="shared" si="33"/>
        <v>21.033689673118715</v>
      </c>
      <c r="H28" s="179">
        <f t="shared" si="33"/>
        <v>20.722336694765389</v>
      </c>
      <c r="I28" s="179">
        <f t="shared" si="33"/>
        <v>18.832762689295397</v>
      </c>
      <c r="J28" s="179">
        <f t="shared" si="33"/>
        <v>19.106311912896</v>
      </c>
      <c r="K28" s="179">
        <f t="shared" si="33"/>
        <v>20.157664030841666</v>
      </c>
      <c r="L28" s="180">
        <f t="shared" ref="L28" si="34">IF(L26&gt;0,L29/L26,0)</f>
        <v>15.086425820345376</v>
      </c>
      <c r="M28" s="154"/>
    </row>
    <row r="29" spans="1:13" s="154" customFormat="1" ht="13" x14ac:dyDescent="0.3">
      <c r="A29" s="159" t="s">
        <v>54</v>
      </c>
      <c r="B29" s="160">
        <f>'Data Sheet'!B90</f>
        <v>1092.6611109999999</v>
      </c>
      <c r="C29" s="160">
        <f>'Data Sheet'!C90</f>
        <v>1941.4571430000001</v>
      </c>
      <c r="D29" s="160">
        <f>'Data Sheet'!D90</f>
        <v>1713.8026319999999</v>
      </c>
      <c r="E29" s="160">
        <f>'Data Sheet'!E90</f>
        <v>2107.2824999999998</v>
      </c>
      <c r="F29" s="160">
        <f>'Data Sheet'!F90</f>
        <v>1517.1524999999999</v>
      </c>
      <c r="G29" s="160">
        <f>'Data Sheet'!G90</f>
        <v>2221.5578949999999</v>
      </c>
      <c r="H29" s="160">
        <f>'Data Sheet'!H90</f>
        <v>2475.67</v>
      </c>
      <c r="I29" s="160">
        <f>'Data Sheet'!I90</f>
        <v>2980.3736840000001</v>
      </c>
      <c r="J29" s="160">
        <f>'Data Sheet'!J90</f>
        <v>3231.1131580000001</v>
      </c>
      <c r="K29" s="160">
        <f>'Data Sheet'!K90</f>
        <v>3732.1642860000002</v>
      </c>
      <c r="L29" s="161">
        <f>'Data Sheet'!B8</f>
        <v>2735.85</v>
      </c>
    </row>
    <row r="30" spans="1:13" x14ac:dyDescent="0.25">
      <c r="A30" s="166" t="s">
        <v>14</v>
      </c>
      <c r="B30" s="181">
        <f>IF('Data Sheet'!B30&gt;0, 'Data Sheet'!B31/'Data Sheet'!B30, 0)</f>
        <v>0.31160279615528647</v>
      </c>
      <c r="C30" s="181">
        <f>IF('Data Sheet'!C30&gt;0, 'Data Sheet'!C31/'Data Sheet'!C30, 0)</f>
        <v>0.98425955381906327</v>
      </c>
      <c r="D30" s="181">
        <f>IF('Data Sheet'!D30&gt;0, 'Data Sheet'!D31/'Data Sheet'!D30, 0)</f>
        <v>1.0876342133928107</v>
      </c>
      <c r="E30" s="181">
        <f>IF('Data Sheet'!E30&gt;0, 'Data Sheet'!E31/'Data Sheet'!E30, 0)</f>
        <v>0.37788094006635464</v>
      </c>
      <c r="F30" s="181">
        <f>IF('Data Sheet'!F30&gt;0, 'Data Sheet'!F31/'Data Sheet'!F30, 0)</f>
        <v>0.56567964648562907</v>
      </c>
      <c r="G30" s="181">
        <f>IF('Data Sheet'!G30&gt;0, 'Data Sheet'!G31/'Data Sheet'!G30, 0)</f>
        <v>0.6154579247823696</v>
      </c>
      <c r="H30" s="181">
        <f>IF('Data Sheet'!H30&gt;0, 'Data Sheet'!H31/'Data Sheet'!H30, 0)</f>
        <v>0.50225516004091153</v>
      </c>
      <c r="I30" s="181">
        <f>IF('Data Sheet'!I30&gt;0, 'Data Sheet'!I31/'Data Sheet'!I30, 0)</f>
        <v>0.45498530151668093</v>
      </c>
      <c r="J30" s="181">
        <f>IF('Data Sheet'!J30&gt;0, 'Data Sheet'!J31/'Data Sheet'!J30, 0)</f>
        <v>0.50263242052399681</v>
      </c>
      <c r="K30" s="181">
        <f>IF('Data Sheet'!K30&gt;0, 'Data Sheet'!K31/'Data Sheet'!K30, 0)</f>
        <v>0.51310935370101907</v>
      </c>
      <c r="L30" s="182"/>
    </row>
    <row r="31" spans="1:13" x14ac:dyDescent="0.25">
      <c r="A31" s="166" t="s">
        <v>181</v>
      </c>
      <c r="B31" s="167">
        <f>B29*'Data Sheet'!B93</f>
        <v>21819.076560281246</v>
      </c>
      <c r="C31" s="167">
        <f>C29*'Data Sheet'!C93</f>
        <v>38768.472324281254</v>
      </c>
      <c r="D31" s="167">
        <f>D29*'Data Sheet'!D93</f>
        <v>34222.49630775</v>
      </c>
      <c r="E31" s="167">
        <f>E29*'Data Sheet'!E93</f>
        <v>42079.797421874995</v>
      </c>
      <c r="F31" s="167">
        <f>F29*'Data Sheet'!F93</f>
        <v>30295.638984374997</v>
      </c>
      <c r="G31" s="167">
        <f>G29*'Data Sheet'!G93</f>
        <v>44361.734215781245</v>
      </c>
      <c r="H31" s="167">
        <f>H29*'Data Sheet'!H93</f>
        <v>49436.035312500004</v>
      </c>
      <c r="I31" s="167">
        <f>I29*'Data Sheet'!I93</f>
        <v>59515.108323084423</v>
      </c>
      <c r="J31" s="167">
        <f>J29*'Data Sheet'!J93</f>
        <v>64524.308087279438</v>
      </c>
      <c r="K31" s="167">
        <f>K29*'Data Sheet'!K93</f>
        <v>74530.140681072764</v>
      </c>
      <c r="L31" s="168"/>
    </row>
    <row r="32" spans="1:13" x14ac:dyDescent="0.25">
      <c r="A32" s="166" t="s">
        <v>182</v>
      </c>
      <c r="B32" s="167">
        <f>B23*(1-B30)</f>
        <v>882.36000000000013</v>
      </c>
      <c r="C32" s="167">
        <f t="shared" ref="C32:K32" si="35">C23*(1-C30)</f>
        <v>35.130000000000038</v>
      </c>
      <c r="D32" s="167">
        <f t="shared" si="35"/>
        <v>-168.95</v>
      </c>
      <c r="E32" s="167">
        <f t="shared" si="35"/>
        <v>1479.4799999999996</v>
      </c>
      <c r="F32" s="167">
        <f t="shared" si="35"/>
        <v>919.9600000000014</v>
      </c>
      <c r="G32" s="167">
        <f t="shared" si="35"/>
        <v>811.03000000000043</v>
      </c>
      <c r="H32" s="167">
        <f t="shared" si="35"/>
        <v>1187.4399999999976</v>
      </c>
      <c r="I32" s="167">
        <f t="shared" si="35"/>
        <v>1722.3500000000004</v>
      </c>
      <c r="J32" s="167">
        <f t="shared" si="35"/>
        <v>1679.6700000000026</v>
      </c>
      <c r="K32" s="167">
        <f t="shared" si="35"/>
        <v>1800.2100000000009</v>
      </c>
      <c r="L32" s="182"/>
    </row>
    <row r="33" spans="1:12" ht="13" thickBot="1" x14ac:dyDescent="0.3">
      <c r="A33" s="183" t="s">
        <v>183</v>
      </c>
      <c r="B33" s="184">
        <f>(K31-B31)/SUM(B32:K32)</f>
        <v>5.0935060433592989</v>
      </c>
      <c r="C33" s="185"/>
      <c r="D33" s="185"/>
      <c r="E33" s="185"/>
      <c r="F33" s="185"/>
      <c r="G33" s="185"/>
      <c r="H33" s="185"/>
      <c r="I33" s="185"/>
      <c r="J33" s="185"/>
      <c r="K33" s="185"/>
      <c r="L33" s="186"/>
    </row>
    <row r="34" spans="1:12" x14ac:dyDescent="0.25">
      <c r="B34" s="187"/>
      <c r="C34" s="187"/>
      <c r="D34" s="187"/>
      <c r="E34" s="187"/>
      <c r="F34" s="187"/>
      <c r="G34" s="187"/>
      <c r="H34" s="187"/>
      <c r="I34" s="187"/>
      <c r="J34" s="187"/>
      <c r="K34" s="187"/>
      <c r="L34" s="187"/>
    </row>
    <row r="35" spans="1:12" x14ac:dyDescent="0.25">
      <c r="B35" s="188"/>
      <c r="C35" s="188"/>
      <c r="D35" s="188"/>
      <c r="E35" s="188"/>
      <c r="F35" s="188"/>
      <c r="G35" s="188"/>
      <c r="H35" s="188"/>
      <c r="I35" s="188"/>
      <c r="J35" s="188"/>
      <c r="K35" s="188"/>
      <c r="L35" s="188"/>
    </row>
    <row r="36" spans="1:12" s="158" customFormat="1" ht="13" x14ac:dyDescent="0.3">
      <c r="A36" s="189" t="s">
        <v>16</v>
      </c>
      <c r="B36" s="189" t="s">
        <v>60</v>
      </c>
      <c r="C36" s="189" t="s">
        <v>61</v>
      </c>
      <c r="D36" s="189" t="s">
        <v>62</v>
      </c>
      <c r="E36" s="189" t="s">
        <v>63</v>
      </c>
    </row>
    <row r="37" spans="1:12" s="154" customFormat="1" ht="13" x14ac:dyDescent="0.3">
      <c r="A37" s="190" t="s">
        <v>17</v>
      </c>
      <c r="B37" s="191">
        <f>(K4/B4)^(1/9)-1</f>
        <v>0.11278097342318194</v>
      </c>
      <c r="C37" s="191">
        <f>(K4/D4)^(1/7)-1</f>
        <v>7.5230674985166335E-2</v>
      </c>
      <c r="D37" s="191">
        <f>(K4/F4)^(1/5)-1</f>
        <v>6.2807111898792511E-2</v>
      </c>
      <c r="E37" s="191">
        <f>(K4/H4)^(1/3)-1</f>
        <v>5.3245790928803771E-2</v>
      </c>
    </row>
    <row r="38" spans="1:12" s="154" customFormat="1" ht="13" x14ac:dyDescent="0.3">
      <c r="A38" s="190" t="s">
        <v>180</v>
      </c>
      <c r="B38" s="191">
        <f>(K19/B19)^(1/9)-1</f>
        <v>0.12745699197215377</v>
      </c>
      <c r="C38" s="191">
        <f>(K19/D19)^(1/7)-1</f>
        <v>0.11782039126024801</v>
      </c>
      <c r="D38" s="191">
        <f>(K19/F19)^(1/5)-1</f>
        <v>0.15701383508058342</v>
      </c>
      <c r="E38" s="191">
        <f>(K19/H19)^(1/3)-1</f>
        <v>0.16357721179198714</v>
      </c>
    </row>
    <row r="39" spans="1:12" ht="13" x14ac:dyDescent="0.3">
      <c r="A39" s="190" t="s">
        <v>100</v>
      </c>
      <c r="B39" s="191">
        <f>AVERAGE(B21:K21)</f>
        <v>0.13923806202811759</v>
      </c>
      <c r="C39" s="191">
        <f>AVERAGE(E21:K21)</f>
        <v>0.13487175496816373</v>
      </c>
      <c r="D39" s="191">
        <f>AVERAGE(G21:K21)</f>
        <v>0.14323936464189901</v>
      </c>
      <c r="E39" s="191">
        <f>AVERAGE(I21:K21)</f>
        <v>0.16069436801056858</v>
      </c>
      <c r="F39" s="154"/>
    </row>
    <row r="40" spans="1:12" ht="13" x14ac:dyDescent="0.3">
      <c r="A40" s="190" t="s">
        <v>18</v>
      </c>
      <c r="B40" s="179">
        <f>AVERAGE(B28:K28)</f>
        <v>18.399470016357604</v>
      </c>
      <c r="C40" s="179">
        <f>AVERAGE(E28:K28)</f>
        <v>18.835723496150131</v>
      </c>
      <c r="D40" s="179">
        <f>AVERAGE(G28:K28)</f>
        <v>19.970553000183436</v>
      </c>
      <c r="E40" s="179">
        <f>AVERAGE(I28:K28)</f>
        <v>19.365579544344353</v>
      </c>
      <c r="F40" s="154"/>
    </row>
    <row r="41" spans="1:12" x14ac:dyDescent="0.25">
      <c r="A41" s="394" t="s">
        <v>240</v>
      </c>
      <c r="B41" s="394"/>
      <c r="C41" s="394"/>
      <c r="D41" s="394"/>
      <c r="E41" s="394"/>
    </row>
    <row r="42" spans="1:12" x14ac:dyDescent="0.25">
      <c r="A42" s="394"/>
      <c r="B42" s="394"/>
      <c r="C42" s="394"/>
      <c r="D42" s="394"/>
      <c r="E42" s="394"/>
    </row>
    <row r="43" spans="1:12" x14ac:dyDescent="0.25">
      <c r="A43" s="394"/>
      <c r="B43" s="394"/>
      <c r="C43" s="394"/>
      <c r="D43" s="394"/>
      <c r="E43" s="394"/>
    </row>
    <row r="44" spans="1:12" x14ac:dyDescent="0.25">
      <c r="A44" s="394"/>
      <c r="B44" s="394"/>
      <c r="C44" s="394"/>
      <c r="D44" s="394"/>
      <c r="E44" s="394"/>
    </row>
  </sheetData>
  <mergeCells count="4">
    <mergeCell ref="M6:O11"/>
    <mergeCell ref="A41:E44"/>
    <mergeCell ref="A1:L1"/>
    <mergeCell ref="A2:L2"/>
  </mergeCells>
  <printOptions gridLines="1"/>
  <pageMargins left="0.7" right="0.7" top="0.75" bottom="0.75" header="0.3" footer="0.3"/>
  <pageSetup paperSize="9" orientation="landscape" horizontalDpi="300" verticalDpi="300" r:id="rId1"/>
  <legacy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r2:uid="{6E7D59D1-1D98-4F28-9EF0-5E0AA5D86DF4}">
          <x14:colorSeries rgb="FFC00000"/>
          <x14:colorNegative rgb="FFD00000"/>
          <x14:colorAxis rgb="FF000000"/>
          <x14:colorMarkers rgb="FFD00000"/>
          <x14:colorFirst rgb="FFD00000"/>
          <x14:colorLast rgb="FFD00000"/>
          <x14:colorHigh rgb="FFD00000"/>
          <x14:colorLow rgb="FFD00000"/>
          <x14:sparklines>
            <x14:sparkline>
              <xm:f>'Profit &amp; Loss'!G28:L28</xm:f>
              <xm:sqref>M28</xm:sqref>
            </x14:sparkline>
          </x14:sparklines>
        </x14:sparklineGroup>
        <x14:sparklineGroup type="column" displayEmptyCellsAs="gap" xr2:uid="{68CFE33C-4EFA-44F6-908D-C598ED18BC72}">
          <x14:colorSeries rgb="FFC00000"/>
          <x14:colorNegative rgb="FFD00000"/>
          <x14:colorAxis rgb="FF000000"/>
          <x14:colorMarkers rgb="FFD00000"/>
          <x14:colorFirst rgb="FFD00000"/>
          <x14:colorLast rgb="FFD00000"/>
          <x14:colorHigh rgb="FFD00000"/>
          <x14:colorLow rgb="FFD00000"/>
          <x14:sparklines>
            <x14:sparkline>
              <xm:f>'Profit &amp; Loss'!G25:L25</xm:f>
              <xm:sqref>M25</xm:sqref>
            </x14:sparkline>
          </x14:sparklines>
        </x14:sparklineGroup>
        <x14:sparklineGroup type="column" displayEmptyCellsAs="gap" xr2:uid="{22DC0198-1B36-4056-95B7-1D2DD1F16073}">
          <x14:colorSeries rgb="FFC00000"/>
          <x14:colorNegative rgb="FFD00000"/>
          <x14:colorAxis rgb="FF000000"/>
          <x14:colorMarkers rgb="FFD00000"/>
          <x14:colorFirst rgb="FFD00000"/>
          <x14:colorLast rgb="FFD00000"/>
          <x14:colorHigh rgb="FFD00000"/>
          <x14:colorLow rgb="FFD00000"/>
          <x14:sparklines>
            <x14:sparkline>
              <xm:f>'Profit &amp; Loss'!B38:E38</xm:f>
              <xm:sqref>F38</xm:sqref>
            </x14:sparkline>
            <x14:sparkline>
              <xm:f>'Profit &amp; Loss'!B39:E39</xm:f>
              <xm:sqref>F39</xm:sqref>
            </x14:sparkline>
            <x14:sparkline>
              <xm:f>'Profit &amp; Loss'!B40:E40</xm:f>
              <xm:sqref>F40</xm:sqref>
            </x14:sparkline>
          </x14:sparklines>
        </x14:sparklineGroup>
        <x14:sparklineGroup type="column" displayEmptyCellsAs="gap" xr2:uid="{64E9220B-C344-496E-BFB5-655119B3D7B3}">
          <x14:colorSeries rgb="FFC00000"/>
          <x14:colorNegative rgb="FFD00000"/>
          <x14:colorAxis rgb="FF000000"/>
          <x14:colorMarkers rgb="FFD00000"/>
          <x14:colorFirst rgb="FFD00000"/>
          <x14:colorLast rgb="FFD00000"/>
          <x14:colorHigh rgb="FFD00000"/>
          <x14:colorLow rgb="FFD00000"/>
          <x14:sparklines>
            <x14:sparkline>
              <xm:f>'Profit &amp; Loss'!B37:E37</xm:f>
              <xm:sqref>F37</xm:sqref>
            </x14:sparkline>
          </x14:sparklines>
        </x14:sparklineGroup>
        <x14:sparklineGroup type="column" displayEmptyCellsAs="gap" xr2:uid="{5B52F889-DFE6-4521-AAE9-453782F932D5}">
          <x14:colorSeries rgb="FFC00000"/>
          <x14:colorNegative rgb="FFD00000"/>
          <x14:colorAxis rgb="FF000000"/>
          <x14:colorMarkers rgb="FFD00000"/>
          <x14:colorFirst rgb="FFD00000"/>
          <x14:colorLast rgb="FFD00000"/>
          <x14:colorHigh rgb="FFD00000"/>
          <x14:colorLow rgb="FFD00000"/>
          <x14:sparklines>
            <x14:sparkline>
              <xm:f>'Profit &amp; Loss'!G23:L23</xm:f>
              <xm:sqref>M23</xm:sqref>
            </x14:sparkline>
          </x14:sparklines>
        </x14:sparklineGroup>
        <x14:sparklineGroup type="column" displayEmptyCellsAs="gap" xr2:uid="{B7A36FED-F0D9-4A2F-ABC9-662E6834AD5F}">
          <x14:colorSeries rgb="FFC00000"/>
          <x14:colorNegative rgb="FFD00000"/>
          <x14:colorAxis rgb="FF000000"/>
          <x14:colorMarkers rgb="FFD00000"/>
          <x14:colorFirst rgb="FFD00000"/>
          <x14:colorLast rgb="FFD00000"/>
          <x14:colorHigh rgb="FFD00000"/>
          <x14:colorLow rgb="FFD00000"/>
          <x14:sparklines>
            <x14:sparkline>
              <xm:f>'Profit &amp; Loss'!G19:L19</xm:f>
              <xm:sqref>M19</xm:sqref>
            </x14:sparkline>
          </x14:sparklines>
        </x14:sparklineGroup>
        <x14:sparklineGroup type="column" displayEmptyCellsAs="gap" xr2:uid="{4E4C0FBF-DECA-4A6B-A41B-B74A2693260A}">
          <x14:colorSeries rgb="FFC00000"/>
          <x14:colorNegative rgb="FFD00000"/>
          <x14:colorAxis rgb="FF000000"/>
          <x14:colorMarkers rgb="FFD00000"/>
          <x14:colorFirst rgb="FFD00000"/>
          <x14:colorLast rgb="FFD00000"/>
          <x14:colorHigh rgb="FFD00000"/>
          <x14:colorLow rgb="FFD00000"/>
          <x14:sparklines>
            <x14:sparkline>
              <xm:f>'Profit &amp; Loss'!G12:L12</xm:f>
              <xm:sqref>M12</xm:sqref>
            </x14:sparkline>
          </x14:sparklines>
        </x14:sparklineGroup>
        <x14:sparklineGroup type="column" displayEmptyCellsAs="gap" xr2:uid="{94601536-7D7C-4154-B09C-6C817ED3C9E0}">
          <x14:colorSeries rgb="FFC00000"/>
          <x14:colorNegative rgb="FFD00000"/>
          <x14:colorAxis rgb="FF000000"/>
          <x14:colorMarkers rgb="FFD00000"/>
          <x14:colorFirst rgb="FFD00000"/>
          <x14:colorLast rgb="FFD00000"/>
          <x14:colorHigh rgb="FFD00000"/>
          <x14:colorLow rgb="FFD00000"/>
          <x14:sparklines>
            <x14:sparkline>
              <xm:f>'Profit &amp; Loss'!G4:L4</xm:f>
              <xm:sqref>M4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2"/>
  <sheetViews>
    <sheetView workbookViewId="0">
      <pane xSplit="1" ySplit="3" topLeftCell="B4" activePane="bottomRight" state="frozen"/>
      <selection pane="topRight" activeCell="B1" sqref="B1"/>
      <selection pane="bottomLeft" activeCell="A4" sqref="A4"/>
      <selection pane="bottomRight" activeCell="B12" sqref="B12:K12"/>
    </sheetView>
  </sheetViews>
  <sheetFormatPr defaultColWidth="13.08984375" defaultRowHeight="12.5" x14ac:dyDescent="0.25"/>
  <cols>
    <col min="1" max="1" width="31.81640625" style="13" bestFit="1" customWidth="1"/>
    <col min="2" max="2" width="6.7265625" style="13" bestFit="1" customWidth="1"/>
    <col min="3" max="11" width="7.08984375" style="13" bestFit="1" customWidth="1"/>
    <col min="12" max="12" width="8.08984375" style="13" bestFit="1" customWidth="1"/>
    <col min="13" max="16384" width="13.08984375" style="13"/>
  </cols>
  <sheetData>
    <row r="1" spans="1:13" ht="19" x14ac:dyDescent="0.4">
      <c r="A1" s="387" t="s">
        <v>267</v>
      </c>
      <c r="B1" s="388"/>
      <c r="C1" s="388"/>
      <c r="D1" s="388"/>
      <c r="E1" s="388"/>
      <c r="F1" s="388"/>
      <c r="G1" s="388"/>
      <c r="H1" s="388"/>
      <c r="I1" s="388"/>
      <c r="J1" s="388"/>
      <c r="K1" s="388"/>
      <c r="L1" s="389"/>
    </row>
    <row r="2" spans="1:13" s="7" customFormat="1" ht="13" x14ac:dyDescent="0.3">
      <c r="A2" s="401" t="str">
        <f>'Balance Sheet'!A2</f>
        <v>HERO MOTOCORP LTD</v>
      </c>
      <c r="B2" s="402"/>
      <c r="C2" s="402"/>
      <c r="D2" s="402"/>
      <c r="E2" s="402"/>
      <c r="F2" s="402"/>
      <c r="G2" s="402"/>
      <c r="H2" s="402"/>
      <c r="I2" s="402"/>
      <c r="J2" s="402"/>
      <c r="K2" s="402"/>
      <c r="L2" s="403"/>
    </row>
    <row r="3" spans="1:13" s="10" customFormat="1" ht="13" x14ac:dyDescent="0.3">
      <c r="A3" s="255" t="s">
        <v>179</v>
      </c>
      <c r="B3" s="113">
        <f>'Data Sheet'!B81</f>
        <v>39903</v>
      </c>
      <c r="C3" s="113">
        <f>'Data Sheet'!C81</f>
        <v>40268</v>
      </c>
      <c r="D3" s="113">
        <f>'Data Sheet'!D81</f>
        <v>40633</v>
      </c>
      <c r="E3" s="113">
        <f>'Data Sheet'!E81</f>
        <v>40999</v>
      </c>
      <c r="F3" s="113">
        <f>'Data Sheet'!F81</f>
        <v>41364</v>
      </c>
      <c r="G3" s="113">
        <f>'Data Sheet'!G81</f>
        <v>41729</v>
      </c>
      <c r="H3" s="113">
        <f>'Data Sheet'!H81</f>
        <v>42094</v>
      </c>
      <c r="I3" s="113">
        <f>'Data Sheet'!I81</f>
        <v>42460</v>
      </c>
      <c r="J3" s="113">
        <f>'Data Sheet'!J81</f>
        <v>42825</v>
      </c>
      <c r="K3" s="113">
        <f>'Data Sheet'!K81</f>
        <v>43190</v>
      </c>
      <c r="L3" s="212" t="s">
        <v>21</v>
      </c>
    </row>
    <row r="4" spans="1:13" s="7" customFormat="1" ht="13" x14ac:dyDescent="0.3">
      <c r="A4" s="256" t="s">
        <v>93</v>
      </c>
      <c r="B4" s="118">
        <f>'Data Sheet'!B82</f>
        <v>1359.03</v>
      </c>
      <c r="C4" s="118">
        <f>'Data Sheet'!C82</f>
        <v>2686.64</v>
      </c>
      <c r="D4" s="118">
        <f>'Data Sheet'!D82</f>
        <v>2254.16</v>
      </c>
      <c r="E4" s="118">
        <f>'Data Sheet'!E82</f>
        <v>2359.7800000000002</v>
      </c>
      <c r="F4" s="118">
        <f>'Data Sheet'!F82</f>
        <v>1890.43</v>
      </c>
      <c r="G4" s="118">
        <f>'Data Sheet'!G82</f>
        <v>2963.41</v>
      </c>
      <c r="H4" s="118">
        <f>'Data Sheet'!H82</f>
        <v>2250</v>
      </c>
      <c r="I4" s="118">
        <f>'Data Sheet'!I82</f>
        <v>3849.14</v>
      </c>
      <c r="J4" s="118">
        <f>'Data Sheet'!J82</f>
        <v>4028.02</v>
      </c>
      <c r="K4" s="118">
        <f>'Data Sheet'!K82</f>
        <v>3980.85</v>
      </c>
      <c r="L4" s="257">
        <f>SUM(B4:K4)</f>
        <v>27621.46</v>
      </c>
      <c r="M4" s="13"/>
    </row>
    <row r="5" spans="1:13" s="291" customFormat="1" ht="13" x14ac:dyDescent="0.3">
      <c r="A5" s="262" t="s">
        <v>286</v>
      </c>
      <c r="B5" s="290"/>
      <c r="C5" s="117">
        <f>C4/B4-1</f>
        <v>0.97688056922952393</v>
      </c>
      <c r="D5" s="117">
        <f t="shared" ref="D5:K5" si="0">D4/C4-1</f>
        <v>-0.16097430247446631</v>
      </c>
      <c r="E5" s="117">
        <f t="shared" si="0"/>
        <v>4.6855591439826982E-2</v>
      </c>
      <c r="F5" s="117">
        <f t="shared" si="0"/>
        <v>-0.19889565976489343</v>
      </c>
      <c r="G5" s="117">
        <f t="shared" si="0"/>
        <v>0.56758515258433251</v>
      </c>
      <c r="H5" s="117">
        <f t="shared" si="0"/>
        <v>-0.24073955341987774</v>
      </c>
      <c r="I5" s="117">
        <f t="shared" si="0"/>
        <v>0.71072888888888874</v>
      </c>
      <c r="J5" s="117">
        <f t="shared" si="0"/>
        <v>4.6472718581293426E-2</v>
      </c>
      <c r="K5" s="117">
        <f t="shared" si="0"/>
        <v>-1.1710468170465949E-2</v>
      </c>
      <c r="L5" s="261"/>
      <c r="M5" s="12"/>
    </row>
    <row r="6" spans="1:13" ht="13" x14ac:dyDescent="0.3">
      <c r="A6" s="90" t="s">
        <v>28</v>
      </c>
      <c r="B6" s="30">
        <f>'Data Sheet'!B83</f>
        <v>-861.19</v>
      </c>
      <c r="C6" s="30">
        <f>'Data Sheet'!C83</f>
        <v>-528.16999999999996</v>
      </c>
      <c r="D6" s="30">
        <f>'Data Sheet'!D83</f>
        <v>-1322.31</v>
      </c>
      <c r="E6" s="30">
        <f>'Data Sheet'!E83</f>
        <v>92.79</v>
      </c>
      <c r="F6" s="30">
        <f>'Data Sheet'!F83</f>
        <v>-732.94</v>
      </c>
      <c r="G6" s="30">
        <f>'Data Sheet'!G83</f>
        <v>-1617.02</v>
      </c>
      <c r="H6" s="30">
        <f>'Data Sheet'!H83</f>
        <v>12.08</v>
      </c>
      <c r="I6" s="30">
        <f>'Data Sheet'!I83</f>
        <v>-2206.19</v>
      </c>
      <c r="J6" s="30">
        <f>'Data Sheet'!J83</f>
        <v>-1943.94</v>
      </c>
      <c r="K6" s="30">
        <f>'Data Sheet'!K83</f>
        <v>-1915.22</v>
      </c>
      <c r="L6" s="257">
        <f t="shared" ref="L6:L8" si="1">SUM(B6:K6)</f>
        <v>-11022.11</v>
      </c>
    </row>
    <row r="7" spans="1:13" ht="13" x14ac:dyDescent="0.3">
      <c r="A7" s="90" t="s">
        <v>29</v>
      </c>
      <c r="B7" s="30">
        <f>'Data Sheet'!B84</f>
        <v>-499.93</v>
      </c>
      <c r="C7" s="30">
        <f>'Data Sheet'!C84</f>
        <v>-2109.31</v>
      </c>
      <c r="D7" s="30">
        <f>'Data Sheet'!D84</f>
        <v>-955.23</v>
      </c>
      <c r="E7" s="30">
        <f>'Data Sheet'!E84</f>
        <v>-2458.16</v>
      </c>
      <c r="F7" s="30">
        <f>'Data Sheet'!F84</f>
        <v>-1056.27</v>
      </c>
      <c r="G7" s="30">
        <f>'Data Sheet'!G84</f>
        <v>-1414.93</v>
      </c>
      <c r="H7" s="30">
        <f>'Data Sheet'!H84</f>
        <v>-2230.52</v>
      </c>
      <c r="I7" s="30">
        <f>'Data Sheet'!I84</f>
        <v>-1686.69</v>
      </c>
      <c r="J7" s="30">
        <f>'Data Sheet'!J84</f>
        <v>-2095.63</v>
      </c>
      <c r="K7" s="30">
        <f>'Data Sheet'!K84</f>
        <v>-2046.66</v>
      </c>
      <c r="L7" s="257">
        <f t="shared" si="1"/>
        <v>-16553.330000000002</v>
      </c>
    </row>
    <row r="8" spans="1:13" s="7" customFormat="1" ht="13" x14ac:dyDescent="0.3">
      <c r="A8" s="256" t="s">
        <v>30</v>
      </c>
      <c r="B8" s="118">
        <f>'Data Sheet'!B85</f>
        <v>-2.09</v>
      </c>
      <c r="C8" s="118">
        <f>'Data Sheet'!C85</f>
        <v>49.16</v>
      </c>
      <c r="D8" s="118">
        <f>'Data Sheet'!D85</f>
        <v>-23.38</v>
      </c>
      <c r="E8" s="118">
        <f>'Data Sheet'!E85</f>
        <v>-5.59</v>
      </c>
      <c r="F8" s="118">
        <f>'Data Sheet'!F85</f>
        <v>101.22</v>
      </c>
      <c r="G8" s="118">
        <f>'Data Sheet'!G85</f>
        <v>-68.540000000000006</v>
      </c>
      <c r="H8" s="118">
        <f>'Data Sheet'!H85</f>
        <v>31.56</v>
      </c>
      <c r="I8" s="118">
        <f>'Data Sheet'!I85</f>
        <v>-43.74</v>
      </c>
      <c r="J8" s="118">
        <f>'Data Sheet'!J85</f>
        <v>-11.55</v>
      </c>
      <c r="K8" s="118">
        <f>'Data Sheet'!K85</f>
        <v>18.97</v>
      </c>
      <c r="L8" s="257">
        <f t="shared" si="1"/>
        <v>46.019999999999982</v>
      </c>
    </row>
    <row r="9" spans="1:13" s="12" customFormat="1" ht="13" x14ac:dyDescent="0.3">
      <c r="A9" s="258" t="s">
        <v>94</v>
      </c>
      <c r="B9" s="117">
        <f>B4/'Profit &amp; Loss'!B4</f>
        <v>0.11031875653455765</v>
      </c>
      <c r="C9" s="117">
        <f>C4/'Profit &amp; Loss'!C4</f>
        <v>0.17049176998866619</v>
      </c>
      <c r="D9" s="117">
        <f>D4/'Profit &amp; Loss'!D4</f>
        <v>0.11620621375579765</v>
      </c>
      <c r="E9" s="117">
        <f>E4/'Profit &amp; Loss'!E4</f>
        <v>0.10007960463174272</v>
      </c>
      <c r="F9" s="117">
        <f>F4/'Profit &amp; Loss'!F4</f>
        <v>7.9536404030442473E-2</v>
      </c>
      <c r="G9" s="117">
        <f>G4/'Profit &amp; Loss'!G4</f>
        <v>0.11724450623470106</v>
      </c>
      <c r="H9" s="117">
        <f>H4/'Profit &amp; Loss'!H4</f>
        <v>8.1565181455340349E-2</v>
      </c>
      <c r="I9" s="117">
        <f>I4/'Profit &amp; Loss'!I4</f>
        <v>0.13532962763731993</v>
      </c>
      <c r="J9" s="117">
        <f>J4/'Profit &amp; Loss'!J4</f>
        <v>0.14133175394362057</v>
      </c>
      <c r="K9" s="117">
        <f>K4/'Profit &amp; Loss'!K4</f>
        <v>0.12351192923222699</v>
      </c>
      <c r="L9" s="259"/>
    </row>
    <row r="10" spans="1:13" s="12" customFormat="1" ht="13" x14ac:dyDescent="0.3">
      <c r="A10" s="258" t="s">
        <v>95</v>
      </c>
      <c r="B10" s="117">
        <f>B4/'Profit &amp; Loss'!B23</f>
        <v>1.0602842965921855</v>
      </c>
      <c r="C10" s="117">
        <f>C4/'Profit &amp; Loss'!C23</f>
        <v>1.2037834422872702</v>
      </c>
      <c r="D10" s="117">
        <f>D4/'Profit &amp; Loss'!D23</f>
        <v>1.169230769230768</v>
      </c>
      <c r="E10" s="117">
        <f>E4/'Profit &amp; Loss'!E23</f>
        <v>0.99228385327967816</v>
      </c>
      <c r="F10" s="117">
        <f>F4/'Profit &amp; Loss'!F23</f>
        <v>0.89248687540129024</v>
      </c>
      <c r="G10" s="117">
        <f>G4/'Profit &amp; Loss'!G23</f>
        <v>1.4050723538225189</v>
      </c>
      <c r="H10" s="117">
        <f>H4/'Profit &amp; Loss'!H23</f>
        <v>0.94314313978639042</v>
      </c>
      <c r="I10" s="117">
        <f>I4/'Profit &amp; Loss'!I23</f>
        <v>1.2180090437600268</v>
      </c>
      <c r="J10" s="117">
        <f>J4/'Profit &amp; Loss'!J23</f>
        <v>1.192738191121427</v>
      </c>
      <c r="K10" s="117">
        <f>K4/'Profit &amp; Loss'!K23</f>
        <v>1.0766736265876189</v>
      </c>
      <c r="L10" s="259"/>
    </row>
    <row r="11" spans="1:13" ht="13" x14ac:dyDescent="0.3">
      <c r="A11" s="260" t="s">
        <v>230</v>
      </c>
      <c r="B11" s="120">
        <v>374.92</v>
      </c>
      <c r="C11" s="120">
        <v>315.08</v>
      </c>
      <c r="D11" s="120">
        <v>211.57</v>
      </c>
      <c r="E11" s="120">
        <v>364.12</v>
      </c>
      <c r="F11" s="119">
        <v>565</v>
      </c>
      <c r="G11" s="119">
        <v>607</v>
      </c>
      <c r="H11" s="119">
        <v>937</v>
      </c>
      <c r="I11" s="119">
        <v>1156</v>
      </c>
      <c r="J11" s="119">
        <v>1638</v>
      </c>
      <c r="K11" s="119">
        <v>1238</v>
      </c>
      <c r="L11" s="261"/>
    </row>
    <row r="12" spans="1:13" ht="13" x14ac:dyDescent="0.3">
      <c r="A12" s="90" t="s">
        <v>130</v>
      </c>
      <c r="B12" s="121">
        <f t="shared" ref="B12:K12" si="2">B4-B11</f>
        <v>984.1099999999999</v>
      </c>
      <c r="C12" s="121">
        <f t="shared" si="2"/>
        <v>2371.56</v>
      </c>
      <c r="D12" s="121">
        <f t="shared" si="2"/>
        <v>2042.59</v>
      </c>
      <c r="E12" s="121">
        <f t="shared" si="2"/>
        <v>1995.6600000000003</v>
      </c>
      <c r="F12" s="121">
        <f t="shared" si="2"/>
        <v>1325.43</v>
      </c>
      <c r="G12" s="121">
        <f t="shared" si="2"/>
        <v>2356.41</v>
      </c>
      <c r="H12" s="121">
        <f t="shared" si="2"/>
        <v>1313</v>
      </c>
      <c r="I12" s="121">
        <f t="shared" si="2"/>
        <v>2693.14</v>
      </c>
      <c r="J12" s="121">
        <f t="shared" si="2"/>
        <v>2390.02</v>
      </c>
      <c r="K12" s="121">
        <f t="shared" si="2"/>
        <v>2742.85</v>
      </c>
      <c r="L12" s="261">
        <f t="shared" ref="L12" si="3">SUM(B12:K12)</f>
        <v>20214.769999999997</v>
      </c>
      <c r="M12" s="7"/>
    </row>
    <row r="13" spans="1:13" ht="14.5" customHeight="1" x14ac:dyDescent="0.3">
      <c r="A13" s="262" t="s">
        <v>131</v>
      </c>
      <c r="B13" s="398">
        <f>AVERAGE(I12:K12)</f>
        <v>2608.67</v>
      </c>
      <c r="C13" s="399"/>
      <c r="D13" s="399"/>
      <c r="E13" s="399"/>
      <c r="F13" s="399"/>
      <c r="G13" s="399"/>
      <c r="H13" s="399"/>
      <c r="I13" s="399"/>
      <c r="J13" s="399"/>
      <c r="K13" s="400"/>
      <c r="L13" s="263"/>
    </row>
    <row r="14" spans="1:13" ht="14.5" customHeight="1" x14ac:dyDescent="0.3">
      <c r="A14" s="262" t="s">
        <v>289</v>
      </c>
      <c r="B14" s="278"/>
      <c r="C14" s="292">
        <f>C12/B12-1</f>
        <v>1.4098525571328411</v>
      </c>
      <c r="D14" s="292">
        <f t="shared" ref="D14:K14" si="4">D12/C12-1</f>
        <v>-0.13871460135944269</v>
      </c>
      <c r="E14" s="292">
        <f t="shared" si="4"/>
        <v>-2.2975731791499809E-2</v>
      </c>
      <c r="F14" s="292">
        <f t="shared" si="4"/>
        <v>-0.33584378100478041</v>
      </c>
      <c r="G14" s="292">
        <f t="shared" si="4"/>
        <v>0.77784568026979906</v>
      </c>
      <c r="H14" s="292">
        <f t="shared" si="4"/>
        <v>-0.44279645732279183</v>
      </c>
      <c r="I14" s="292">
        <f t="shared" si="4"/>
        <v>1.051134805788271</v>
      </c>
      <c r="J14" s="292">
        <f t="shared" si="4"/>
        <v>-0.11255263372865876</v>
      </c>
      <c r="K14" s="292">
        <f t="shared" si="4"/>
        <v>0.14762637969556747</v>
      </c>
      <c r="L14" s="263"/>
    </row>
    <row r="15" spans="1:13" ht="13" x14ac:dyDescent="0.3">
      <c r="A15" s="262" t="s">
        <v>174</v>
      </c>
      <c r="B15" s="117">
        <f>B12/'Data Sheet'!B17</f>
        <v>7.98847644961653E-2</v>
      </c>
      <c r="C15" s="117">
        <f>C12/'Data Sheet'!C17</f>
        <v>0.15049707516984828</v>
      </c>
      <c r="D15" s="117">
        <f>D12/'Data Sheet'!D17</f>
        <v>0.10529937988228641</v>
      </c>
      <c r="E15" s="117">
        <f>E12/'Data Sheet'!E17</f>
        <v>8.4637069463841405E-2</v>
      </c>
      <c r="F15" s="117">
        <f>F12/'Data Sheet'!F17</f>
        <v>5.5765056624190984E-2</v>
      </c>
      <c r="G15" s="117">
        <f>G12/'Data Sheet'!G17</f>
        <v>9.3229126896552258E-2</v>
      </c>
      <c r="H15" s="117">
        <f>H12/'Data Sheet'!H17</f>
        <v>4.7597814778160837E-2</v>
      </c>
      <c r="I15" s="117">
        <f>I12/'Data Sheet'!I17</f>
        <v>9.4686510071125454E-2</v>
      </c>
      <c r="J15" s="117">
        <f>J12/'Data Sheet'!J17</f>
        <v>8.3858997363551332E-2</v>
      </c>
      <c r="K15" s="117">
        <f>K12/'Data Sheet'!K17</f>
        <v>8.510109526724538E-2</v>
      </c>
      <c r="L15" s="263"/>
    </row>
    <row r="16" spans="1:13" ht="13.5" thickBot="1" x14ac:dyDescent="0.35">
      <c r="A16" s="264" t="s">
        <v>175</v>
      </c>
      <c r="B16" s="265">
        <f>B12/'Data Sheet'!B30</f>
        <v>0.76778023967045306</v>
      </c>
      <c r="C16" s="265">
        <f>C12/'Data Sheet'!C30</f>
        <v>1.062607815111366</v>
      </c>
      <c r="D16" s="265">
        <f>D12/'Data Sheet'!D30</f>
        <v>1.0594896000829919</v>
      </c>
      <c r="E16" s="265">
        <f>E12/'Data Sheet'!E30</f>
        <v>0.83917195443478709</v>
      </c>
      <c r="F16" s="265">
        <f>F12/'Data Sheet'!F30</f>
        <v>0.62574593043018478</v>
      </c>
      <c r="G16" s="265">
        <f>G12/'Data Sheet'!G30</f>
        <v>1.1172691410472813</v>
      </c>
      <c r="H16" s="265">
        <f>H12/'Data Sheet'!H30</f>
        <v>0.55037641890645694</v>
      </c>
      <c r="I16" s="265">
        <f>I12/'Data Sheet'!I30</f>
        <v>0.85220825330122552</v>
      </c>
      <c r="J16" s="265">
        <f>J12/'Data Sheet'!J30</f>
        <v>0.70770952764485717</v>
      </c>
      <c r="K16" s="265">
        <f>K12/'Data Sheet'!K30</f>
        <v>0.74184012376398289</v>
      </c>
      <c r="L16" s="266"/>
    </row>
    <row r="18" spans="1:1" ht="104" x14ac:dyDescent="0.3">
      <c r="A18" s="234" t="s">
        <v>253</v>
      </c>
    </row>
    <row r="22" spans="1:1" s="25" customFormat="1" x14ac:dyDescent="0.25"/>
  </sheetData>
  <mergeCells count="3">
    <mergeCell ref="B13:K13"/>
    <mergeCell ref="A1:L1"/>
    <mergeCell ref="A2:L2"/>
  </mergeCells>
  <printOptions gridLines="1"/>
  <pageMargins left="0.7" right="0.7" top="0.75" bottom="0.75" header="0.3" footer="0.3"/>
  <pageSetup paperSize="9" orientation="landscape" r:id="rId1"/>
  <extLst>
    <ext xmlns:x14="http://schemas.microsoft.com/office/spreadsheetml/2009/9/main" uri="{05C60535-1F16-4fd2-B633-F4F36F0B64E0}">
      <x14:sparklineGroups xmlns:xm="http://schemas.microsoft.com/office/excel/2006/main">
        <x14:sparklineGroup type="column" displayEmptyCellsAs="gap" xr2:uid="{31B158BE-32FD-443C-9A7A-34A49A256DB6}">
          <x14:colorSeries rgb="FFC00000"/>
          <x14:colorNegative rgb="FFD00000"/>
          <x14:colorAxis rgb="FF000000"/>
          <x14:colorMarkers rgb="FFD00000"/>
          <x14:colorFirst rgb="FFD00000"/>
          <x14:colorLast rgb="FFD00000"/>
          <x14:colorHigh rgb="FFD00000"/>
          <x14:colorLow rgb="FFD00000"/>
          <x14:sparklines>
            <x14:sparkline>
              <xm:f>'Cash Flow'!G12:K12</xm:f>
              <xm:sqref>M12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1102-9D3C-4691-94AD-A7621851C2C1}">
  <dimension ref="A1:K23"/>
  <sheetViews>
    <sheetView workbookViewId="0">
      <selection sqref="A1:K23"/>
    </sheetView>
  </sheetViews>
  <sheetFormatPr defaultRowHeight="12.5" x14ac:dyDescent="0.25"/>
  <cols>
    <col min="1" max="1" width="23.36328125" style="8" bestFit="1" customWidth="1"/>
    <col min="2" max="2" width="7" style="8" bestFit="1" customWidth="1"/>
    <col min="3" max="3" width="8" style="8" bestFit="1" customWidth="1"/>
    <col min="4" max="4" width="6.7265625" style="8" bestFit="1" customWidth="1"/>
    <col min="5" max="5" width="7" style="8" bestFit="1" customWidth="1"/>
    <col min="6" max="6" width="6.7265625" style="8" bestFit="1" customWidth="1"/>
    <col min="7" max="7" width="7" style="8" bestFit="1" customWidth="1"/>
    <col min="8" max="8" width="6.7265625" style="8" bestFit="1" customWidth="1"/>
    <col min="9" max="9" width="7" style="8" bestFit="1" customWidth="1"/>
    <col min="10" max="11" width="6.7265625" style="8" bestFit="1" customWidth="1"/>
    <col min="12" max="16384" width="8.7265625" style="8"/>
  </cols>
  <sheetData>
    <row r="1" spans="1:11" ht="15.5" x14ac:dyDescent="0.35">
      <c r="A1" s="404" t="s">
        <v>283</v>
      </c>
      <c r="B1" s="404"/>
      <c r="C1" s="404"/>
      <c r="D1" s="404"/>
      <c r="E1" s="404"/>
      <c r="F1" s="404"/>
      <c r="G1" s="404"/>
      <c r="H1" s="404"/>
      <c r="I1" s="404"/>
      <c r="J1" s="404"/>
      <c r="K1" s="404"/>
    </row>
    <row r="2" spans="1:11" ht="13" x14ac:dyDescent="0.3">
      <c r="A2" s="405" t="str">
        <f>'Profit &amp; Loss'!A2:L2</f>
        <v>HERO MOTOCORP LTD</v>
      </c>
      <c r="B2" s="405"/>
      <c r="C2" s="405"/>
      <c r="D2" s="405"/>
      <c r="E2" s="405"/>
      <c r="F2" s="405"/>
      <c r="G2" s="405"/>
      <c r="H2" s="405"/>
      <c r="I2" s="405"/>
      <c r="J2" s="405"/>
      <c r="K2" s="405"/>
    </row>
    <row r="3" spans="1:11" ht="13" x14ac:dyDescent="0.3">
      <c r="A3" s="284"/>
      <c r="B3" s="285">
        <f>'Profit &amp; Loss'!B3</f>
        <v>39903</v>
      </c>
      <c r="C3" s="285">
        <f>'Profit &amp; Loss'!C3</f>
        <v>40268</v>
      </c>
      <c r="D3" s="285">
        <f>'Profit &amp; Loss'!D3</f>
        <v>40633</v>
      </c>
      <c r="E3" s="285">
        <f>'Profit &amp; Loss'!E3</f>
        <v>40999</v>
      </c>
      <c r="F3" s="285">
        <f>'Profit &amp; Loss'!F3</f>
        <v>41364</v>
      </c>
      <c r="G3" s="285">
        <f>'Profit &amp; Loss'!G3</f>
        <v>41729</v>
      </c>
      <c r="H3" s="285">
        <f>'Profit &amp; Loss'!H3</f>
        <v>42094</v>
      </c>
      <c r="I3" s="285">
        <f>'Profit &amp; Loss'!I3</f>
        <v>42460</v>
      </c>
      <c r="J3" s="285">
        <f>'Profit &amp; Loss'!J3</f>
        <v>42825</v>
      </c>
      <c r="K3" s="285">
        <f>'Profit &amp; Loss'!K3</f>
        <v>43190</v>
      </c>
    </row>
    <row r="4" spans="1:11" x14ac:dyDescent="0.25">
      <c r="A4" s="8" t="s">
        <v>17</v>
      </c>
      <c r="B4" s="286"/>
      <c r="C4" s="286">
        <f>'Profit &amp; Loss'!C5</f>
        <v>0.27916442083525439</v>
      </c>
      <c r="D4" s="286">
        <f>'Profit &amp; Loss'!D5</f>
        <v>0.23097527760185499</v>
      </c>
      <c r="E4" s="286">
        <f>'Profit &amp; Loss'!E5</f>
        <v>0.21554361728287486</v>
      </c>
      <c r="F4" s="286">
        <f>'Profit &amp; Loss'!F5</f>
        <v>8.0189897548796907E-3</v>
      </c>
      <c r="G4" s="286">
        <f>'Profit &amp; Loss'!G5</f>
        <v>6.3419430489003892E-2</v>
      </c>
      <c r="H4" s="286">
        <f>'Profit &amp; Loss'!H5</f>
        <v>9.1386233371723469E-2</v>
      </c>
      <c r="I4" s="286">
        <f>'Profit &amp; Loss'!I5</f>
        <v>3.1081771813248338E-2</v>
      </c>
      <c r="J4" s="286">
        <f>'Profit &amp; Loss'!J5</f>
        <v>2.0307495420617272E-3</v>
      </c>
      <c r="K4" s="286">
        <f>'Profit &amp; Loss'!K5</f>
        <v>0.13087613322732339</v>
      </c>
    </row>
    <row r="5" spans="1:11" x14ac:dyDescent="0.25">
      <c r="A5" s="8" t="s">
        <v>180</v>
      </c>
      <c r="B5" s="286"/>
      <c r="C5" s="286">
        <f>'Profit &amp; Loss'!C20</f>
        <v>0.58955575763699497</v>
      </c>
      <c r="D5" s="286">
        <f>'Profit &amp; Loss'!D20</f>
        <v>-0.15078061820865662</v>
      </c>
      <c r="E5" s="286">
        <f>'Profit &amp; Loss'!E20</f>
        <v>0.19126648813187042</v>
      </c>
      <c r="F5" s="286">
        <f>'Profit &amp; Loss'!F20</f>
        <v>-0.11711831215026858</v>
      </c>
      <c r="G5" s="286">
        <f>'Profit &amp; Loss'!G20</f>
        <v>0.13365886446307029</v>
      </c>
      <c r="H5" s="286">
        <f>'Profit &amp; Loss'!H20</f>
        <v>0.16098003313279041</v>
      </c>
      <c r="I5" s="286">
        <f>'Profit &amp; Loss'!I20</f>
        <v>0.3322648866565352</v>
      </c>
      <c r="J5" s="286">
        <f>'Profit &amp; Loss'!J20</f>
        <v>5.0416359442329695E-2</v>
      </c>
      <c r="K5" s="286">
        <f>'Profit &amp; Loss'!K20</f>
        <v>0.12572824495648671</v>
      </c>
    </row>
    <row r="6" spans="1:11" x14ac:dyDescent="0.25">
      <c r="A6" s="8" t="s">
        <v>281</v>
      </c>
      <c r="B6" s="286"/>
      <c r="C6" s="286">
        <f>'Profit &amp; Loss'!C24</f>
        <v>0.74122300586693357</v>
      </c>
      <c r="D6" s="286">
        <f>'Profit &amp; Loss'!D24</f>
        <v>-0.13617972695052905</v>
      </c>
      <c r="E6" s="286">
        <f>'Profit &amp; Loss'!E24</f>
        <v>0.23353389698635652</v>
      </c>
      <c r="F6" s="286">
        <f>'Profit &amp; Loss'!F24</f>
        <v>-0.10931698435325055</v>
      </c>
      <c r="G6" s="286">
        <f>'Profit &amp; Loss'!G24</f>
        <v>-4.2867394342269716E-3</v>
      </c>
      <c r="H6" s="286">
        <f>'Profit &amp; Loss'!H24</f>
        <v>0.13112826445653747</v>
      </c>
      <c r="I6" s="286">
        <f>'Profit &amp; Loss'!I24</f>
        <v>0.32467178618735715</v>
      </c>
      <c r="J6" s="286">
        <f>'Profit &amp; Loss'!J24</f>
        <v>6.8644606811617326E-2</v>
      </c>
      <c r="K6" s="286">
        <f>'Profit &amp; Loss'!K24</f>
        <v>9.4826360922915187E-2</v>
      </c>
    </row>
    <row r="7" spans="1:11" x14ac:dyDescent="0.25">
      <c r="A7" s="8" t="s">
        <v>296</v>
      </c>
      <c r="B7" s="286"/>
      <c r="C7" s="286">
        <f>'Data Sheet'!C31/'Data Sheet'!B31-1</f>
        <v>4.5</v>
      </c>
      <c r="D7" s="286">
        <f>'Data Sheet'!D31/'Data Sheet'!C31-1</f>
        <v>-4.5454545454545414E-2</v>
      </c>
      <c r="E7" s="286">
        <f>'Data Sheet'!E31/'Data Sheet'!D31-1</f>
        <v>-0.5714285714285714</v>
      </c>
      <c r="F7" s="286">
        <f>'Data Sheet'!F31/'Data Sheet'!E31-1</f>
        <v>0.33333333333333348</v>
      </c>
      <c r="G7" s="286">
        <f>'Data Sheet'!G31/'Data Sheet'!F31-1</f>
        <v>8.3333333333333259E-2</v>
      </c>
      <c r="H7" s="286">
        <f>'Data Sheet'!H31/'Data Sheet'!G31-1</f>
        <v>-7.6923076923076872E-2</v>
      </c>
      <c r="I7" s="286">
        <f>'Data Sheet'!I31/'Data Sheet'!H31-1</f>
        <v>0.19999999999999996</v>
      </c>
      <c r="J7" s="286">
        <f>'Data Sheet'!J31/'Data Sheet'!I31-1</f>
        <v>0.18055555555555558</v>
      </c>
      <c r="K7" s="286">
        <f>'Data Sheet'!K31/'Data Sheet'!J31-1</f>
        <v>0.11764705882352944</v>
      </c>
    </row>
    <row r="8" spans="1:11" x14ac:dyDescent="0.25">
      <c r="A8" s="8" t="s">
        <v>287</v>
      </c>
      <c r="B8" s="286"/>
      <c r="C8" s="286">
        <f>'Cash Flow'!C5</f>
        <v>0.97688056922952393</v>
      </c>
      <c r="D8" s="286">
        <f>'Cash Flow'!D5</f>
        <v>-0.16097430247446631</v>
      </c>
      <c r="E8" s="286">
        <f>'Cash Flow'!E5</f>
        <v>4.6855591439826982E-2</v>
      </c>
      <c r="F8" s="286">
        <f>'Cash Flow'!F5</f>
        <v>-0.19889565976489343</v>
      </c>
      <c r="G8" s="286">
        <f>'Cash Flow'!G5</f>
        <v>0.56758515258433251</v>
      </c>
      <c r="H8" s="286">
        <f>'Cash Flow'!H5</f>
        <v>-0.24073955341987774</v>
      </c>
      <c r="I8" s="286">
        <f>'Cash Flow'!I5</f>
        <v>0.71072888888888874</v>
      </c>
      <c r="J8" s="286">
        <f>'Cash Flow'!J5</f>
        <v>4.6472718581293426E-2</v>
      </c>
      <c r="K8" s="286">
        <f>'Cash Flow'!K5</f>
        <v>-1.1710468170465949E-2</v>
      </c>
    </row>
    <row r="9" spans="1:11" x14ac:dyDescent="0.25">
      <c r="A9" s="8" t="s">
        <v>288</v>
      </c>
      <c r="B9" s="286"/>
      <c r="C9" s="286">
        <f>'Cash Flow'!C14</f>
        <v>1.4098525571328411</v>
      </c>
      <c r="D9" s="286">
        <f>'Cash Flow'!D14</f>
        <v>-0.13871460135944269</v>
      </c>
      <c r="E9" s="286">
        <f>'Cash Flow'!E14</f>
        <v>-2.2975731791499809E-2</v>
      </c>
      <c r="F9" s="286">
        <f>'Cash Flow'!F14</f>
        <v>-0.33584378100478041</v>
      </c>
      <c r="G9" s="286">
        <f>'Cash Flow'!G14</f>
        <v>0.77784568026979906</v>
      </c>
      <c r="H9" s="286">
        <f>'Cash Flow'!H14</f>
        <v>-0.44279645732279183</v>
      </c>
      <c r="I9" s="286">
        <f>'Cash Flow'!I14</f>
        <v>1.051134805788271</v>
      </c>
      <c r="J9" s="286">
        <f>'Cash Flow'!J14</f>
        <v>-0.11255263372865876</v>
      </c>
      <c r="K9" s="286">
        <f>'Cash Flow'!K14</f>
        <v>0.14762637969556747</v>
      </c>
    </row>
    <row r="11" spans="1:11" x14ac:dyDescent="0.25">
      <c r="A11" s="8" t="s">
        <v>280</v>
      </c>
      <c r="B11" s="287">
        <f>'Profit &amp; Loss'!B13</f>
        <v>0.13672648695686057</v>
      </c>
      <c r="C11" s="287">
        <f>'Profit &amp; Loss'!C13</f>
        <v>0.16892623386710909</v>
      </c>
      <c r="D11" s="287">
        <f>'Profit &amp; Loss'!D13</f>
        <v>0.13056496234392032</v>
      </c>
      <c r="E11" s="287">
        <f>'Profit &amp; Loss'!E13</f>
        <v>0.15347450679692926</v>
      </c>
      <c r="F11" s="287">
        <f>'Profit &amp; Loss'!F13</f>
        <v>0.13818852235200876</v>
      </c>
      <c r="G11" s="287">
        <f>'Profit &amp; Loss'!G13</f>
        <v>0.14005911660594247</v>
      </c>
      <c r="H11" s="287">
        <f>'Profit &amp; Loss'!H13</f>
        <v>0.12278786165095162</v>
      </c>
      <c r="I11" s="287">
        <f>'Profit &amp; Loss'!I13</f>
        <v>0.15662964486493902</v>
      </c>
      <c r="J11" s="287">
        <f>'Profit &amp; Loss'!J13</f>
        <v>0.16262228749992122</v>
      </c>
      <c r="K11" s="287">
        <f>'Profit &amp; Loss'!K13</f>
        <v>0.16382593004326035</v>
      </c>
    </row>
    <row r="12" spans="1:11" x14ac:dyDescent="0.25">
      <c r="A12" s="8" t="s">
        <v>100</v>
      </c>
      <c r="B12" s="287">
        <f>'Profit &amp; Loss'!B21</f>
        <v>0.14460935521368409</v>
      </c>
      <c r="C12" s="287">
        <f>'Profit &amp; Loss'!C21</f>
        <v>0.17969905154021601</v>
      </c>
      <c r="D12" s="287">
        <f>'Profit &amp; Loss'!D21</f>
        <v>0.12396992875012963</v>
      </c>
      <c r="E12" s="287">
        <f>'Profit &amp; Loss'!E21</f>
        <v>0.12149397155014431</v>
      </c>
      <c r="F12" s="287">
        <f>'Profit &amp; Loss'!F21</f>
        <v>0.1064114900175068</v>
      </c>
      <c r="G12" s="287">
        <f>'Profit &amp; Loss'!G21</f>
        <v>0.11344002703016012</v>
      </c>
      <c r="H12" s="287">
        <f>'Profit &amp; Loss'!H21</f>
        <v>0.12067369214762919</v>
      </c>
      <c r="I12" s="287">
        <f>'Profit &amp; Loss'!I21</f>
        <v>0.1559229609003365</v>
      </c>
      <c r="J12" s="287">
        <f>'Profit &amp; Loss'!J21</f>
        <v>0.16345209866788135</v>
      </c>
      <c r="K12" s="287">
        <f>'Profit &amp; Loss'!K21</f>
        <v>0.16270804446348788</v>
      </c>
    </row>
    <row r="13" spans="1:11" x14ac:dyDescent="0.25">
      <c r="A13" s="8" t="s">
        <v>282</v>
      </c>
      <c r="B13" s="287">
        <f>'Profit &amp; Loss'!B25</f>
        <v>0.10404639292416992</v>
      </c>
      <c r="C13" s="287">
        <f>'Profit &amp; Loss'!C25</f>
        <v>0.14162993442136093</v>
      </c>
      <c r="D13" s="287">
        <f>'Profit &amp; Loss'!D25</f>
        <v>9.9386893343774402E-2</v>
      </c>
      <c r="E13" s="287">
        <f>'Profit &amp; Loss'!E25</f>
        <v>0.10085783851159269</v>
      </c>
      <c r="F13" s="287">
        <f>'Profit &amp; Loss'!F25</f>
        <v>8.9117729596505713E-2</v>
      </c>
      <c r="G13" s="287">
        <f>'Profit &amp; Loss'!G25</f>
        <v>8.3443750007418313E-2</v>
      </c>
      <c r="H13" s="287">
        <f>'Profit &amp; Loss'!H25</f>
        <v>8.6482293105385674E-2</v>
      </c>
      <c r="I13" s="287">
        <f>'Profit &amp; Loss'!I25</f>
        <v>0.11110724368642923</v>
      </c>
      <c r="J13" s="287">
        <f>'Profit &amp; Loss'!J25</f>
        <v>0.11849352606940398</v>
      </c>
      <c r="K13" s="287">
        <f>'Profit &amp; Loss'!K25</f>
        <v>0.11471622057250763</v>
      </c>
    </row>
    <row r="15" spans="1:11" x14ac:dyDescent="0.25">
      <c r="A15" s="8" t="str">
        <f>'Balance Sheet'!A22</f>
        <v>Debtor Days</v>
      </c>
      <c r="B15" s="288">
        <f>'Balance Sheet'!B22</f>
        <v>4.4425332328932585</v>
      </c>
      <c r="C15" s="288">
        <f>'Balance Sheet'!C22</f>
        <v>2.5105913246326668</v>
      </c>
      <c r="D15" s="288">
        <f>'Balance Sheet'!D22</f>
        <v>2.4572389940576134</v>
      </c>
      <c r="E15" s="288">
        <f>'Balance Sheet'!E22</f>
        <v>4.2153197141697518</v>
      </c>
      <c r="F15" s="288">
        <f>'Balance Sheet'!F22</f>
        <v>10.212212918906888</v>
      </c>
      <c r="G15" s="288">
        <f>'Balance Sheet'!G22</f>
        <v>13.293984246385923</v>
      </c>
      <c r="H15" s="288">
        <f>'Balance Sheet'!H22</f>
        <v>18.386617147538722</v>
      </c>
      <c r="I15" s="288">
        <f>'Balance Sheet'!I22</f>
        <v>16.461939267369129</v>
      </c>
      <c r="J15" s="288">
        <f>'Balance Sheet'!J22</f>
        <v>20.002573642671031</v>
      </c>
      <c r="K15" s="288">
        <f>'Balance Sheet'!K22</f>
        <v>17.215552726626246</v>
      </c>
    </row>
    <row r="16" spans="1:11" x14ac:dyDescent="0.25">
      <c r="A16" s="8" t="str">
        <f>'Balance Sheet'!A23</f>
        <v>Inventory Turnover</v>
      </c>
      <c r="B16" s="288">
        <f>'Balance Sheet'!B23</f>
        <v>37.692745464002698</v>
      </c>
      <c r="C16" s="288">
        <f>'Balance Sheet'!C23</f>
        <v>36.10948670944088</v>
      </c>
      <c r="D16" s="288">
        <f>'Balance Sheet'!D23</f>
        <v>36.953365210599515</v>
      </c>
      <c r="E16" s="288">
        <f>'Balance Sheet'!E23</f>
        <v>34.902423138978932</v>
      </c>
      <c r="F16" s="288">
        <f>'Balance Sheet'!F23</f>
        <v>37.326637979772599</v>
      </c>
      <c r="G16" s="288">
        <f>'Balance Sheet'!G23</f>
        <v>37.749936524531407</v>
      </c>
      <c r="H16" s="288">
        <f>'Balance Sheet'!H23</f>
        <v>33.826656366111173</v>
      </c>
      <c r="I16" s="288">
        <f>'Balance Sheet'!I23</f>
        <v>42.263811703170973</v>
      </c>
      <c r="J16" s="288">
        <f>'Balance Sheet'!J23</f>
        <v>43.425302067620486</v>
      </c>
      <c r="K16" s="288">
        <f>'Balance Sheet'!K23</f>
        <v>39.134619587653901</v>
      </c>
    </row>
    <row r="17" spans="1:11" x14ac:dyDescent="0.25">
      <c r="A17" s="8" t="str">
        <f>'Balance Sheet'!A24</f>
        <v>Fixed Asset Turnover</v>
      </c>
      <c r="B17" s="288">
        <f>'Balance Sheet'!B24</f>
        <v>7.8280750583017209</v>
      </c>
      <c r="C17" s="288">
        <f>'Balance Sheet'!C24</f>
        <v>9.4998613438792372</v>
      </c>
      <c r="D17" s="288">
        <f>'Balance Sheet'!D24</f>
        <v>4.7540683482506099</v>
      </c>
      <c r="E17" s="288">
        <f>'Balance Sheet'!E24</f>
        <v>6.2287591368137969</v>
      </c>
      <c r="F17" s="288">
        <f>'Balance Sheet'!F24</f>
        <v>7.7395847579599995</v>
      </c>
      <c r="G17" s="288">
        <f>'Balance Sheet'!G24</f>
        <v>11.267344254987185</v>
      </c>
      <c r="H17" s="288">
        <f>'Balance Sheet'!H24</f>
        <v>9.4707298064675598</v>
      </c>
      <c r="I17" s="288">
        <f>'Balance Sheet'!I24</f>
        <v>7.9352462789627136</v>
      </c>
      <c r="J17" s="288">
        <f>'Balance Sheet'!J24</f>
        <v>6.4838758846935223</v>
      </c>
      <c r="K17" s="288">
        <f>'Balance Sheet'!K24</f>
        <v>6.9245274506181067</v>
      </c>
    </row>
    <row r="18" spans="1:11" x14ac:dyDescent="0.25">
      <c r="A18" s="8" t="s">
        <v>98</v>
      </c>
      <c r="B18" s="288">
        <f>'Balance Sheet'!B25</f>
        <v>2.0651187265671247E-2</v>
      </c>
      <c r="C18" s="288">
        <f>'Balance Sheet'!C25</f>
        <v>1.9056167063970772E-2</v>
      </c>
      <c r="D18" s="288">
        <f>'Balance Sheet'!D25</f>
        <v>0.2345520726913527</v>
      </c>
      <c r="E18" s="288">
        <f>'Balance Sheet'!E25</f>
        <v>0.16770827748418937</v>
      </c>
      <c r="F18" s="288">
        <f>'Balance Sheet'!F25</f>
        <v>0.12815606123557802</v>
      </c>
      <c r="G18" s="288">
        <f>'Balance Sheet'!G25</f>
        <v>5.0761892686794513E-2</v>
      </c>
      <c r="H18" s="288">
        <f>'Balance Sheet'!H25</f>
        <v>0</v>
      </c>
      <c r="I18" s="288">
        <f>'Balance Sheet'!I25</f>
        <v>0</v>
      </c>
      <c r="J18" s="288">
        <f>'Balance Sheet'!J25</f>
        <v>0</v>
      </c>
      <c r="K18" s="288">
        <f>'Balance Sheet'!K25</f>
        <v>0</v>
      </c>
    </row>
    <row r="19" spans="1:11" x14ac:dyDescent="0.25">
      <c r="A19" s="8" t="s">
        <v>290</v>
      </c>
      <c r="B19" s="286">
        <f>'Balance Sheet'!B6/'Balance Sheet'!B14</f>
        <v>1.2898635035512739E-2</v>
      </c>
      <c r="C19" s="286">
        <f>'Balance Sheet'!C6/'Balance Sheet'!C14</f>
        <v>7.7471902795817008E-3</v>
      </c>
      <c r="D19" s="286">
        <f>'Balance Sheet'!D6/'Balance Sheet'!D14</f>
        <v>6.4604587498753765E-2</v>
      </c>
      <c r="E19" s="286">
        <f>'Balance Sheet'!E6/'Balance Sheet'!E14</f>
        <v>7.2704415481521234E-2</v>
      </c>
      <c r="F19" s="286">
        <f>'Balance Sheet'!F6/'Balance Sheet'!F14</f>
        <v>6.6492002263451686E-2</v>
      </c>
      <c r="G19" s="286">
        <f>'Balance Sheet'!G6/'Balance Sheet'!G14</f>
        <v>2.8138703833856325E-2</v>
      </c>
      <c r="H19" s="286">
        <f>'Balance Sheet'!H6/'Balance Sheet'!H14</f>
        <v>0</v>
      </c>
      <c r="I19" s="286">
        <f>'Balance Sheet'!I6/'Balance Sheet'!I14</f>
        <v>0</v>
      </c>
      <c r="J19" s="286">
        <f>'Balance Sheet'!J6/'Balance Sheet'!J14</f>
        <v>0</v>
      </c>
      <c r="K19" s="286">
        <f>'Balance Sheet'!K6/'Balance Sheet'!K14</f>
        <v>0</v>
      </c>
    </row>
    <row r="20" spans="1:11" x14ac:dyDescent="0.25">
      <c r="A20" s="8" t="s">
        <v>285</v>
      </c>
      <c r="B20" s="288">
        <f>'Profit &amp; Loss'!B18</f>
        <v>705.13438735177886</v>
      </c>
      <c r="C20" s="288">
        <f>'Profit &amp; Loss'!C18</f>
        <v>1349.4428571428577</v>
      </c>
      <c r="D20" s="288">
        <f>'Profit &amp; Loss'!D18</f>
        <v>159.52076466710628</v>
      </c>
      <c r="E20" s="288">
        <f>'Profit &amp; Loss'!E18</f>
        <v>135.4934272300469</v>
      </c>
      <c r="F20" s="288">
        <f>'Profit &amp; Loss'!F18</f>
        <v>213.35936188077272</v>
      </c>
      <c r="G20" s="288">
        <f>'Profit &amp; Loss'!G18</f>
        <v>243.57614213197982</v>
      </c>
      <c r="H20" s="288">
        <f>'Profit &amp; Loss'!H18</f>
        <v>301.1641118124432</v>
      </c>
      <c r="I20" s="288">
        <f>'Profit &amp; Loss'!I18</f>
        <v>907.92638036809842</v>
      </c>
      <c r="J20" s="288">
        <f>'Profit &amp; Loss'!J18</f>
        <v>770.99338842975305</v>
      </c>
      <c r="K20" s="288">
        <f>'Profit &amp; Loss'!K18</f>
        <v>840.06560000000025</v>
      </c>
    </row>
    <row r="21" spans="1:11" x14ac:dyDescent="0.25">
      <c r="A21" s="8" t="str">
        <f>'Balance Sheet'!A26</f>
        <v>Return on Equity</v>
      </c>
      <c r="B21" s="286">
        <f>'Balance Sheet'!B26</f>
        <v>0.33723870288758806</v>
      </c>
      <c r="C21" s="286">
        <f>'Balance Sheet'!C26</f>
        <v>0.64410306434017739</v>
      </c>
      <c r="D21" s="286">
        <f>'Balance Sheet'!D26</f>
        <v>0.65218567958701856</v>
      </c>
      <c r="E21" s="286">
        <f>'Balance Sheet'!E26</f>
        <v>0.55436462517162666</v>
      </c>
      <c r="F21" s="286">
        <f>'Balance Sheet'!F26</f>
        <v>0.42310396625012059</v>
      </c>
      <c r="G21" s="286">
        <f>'Balance Sheet'!G26</f>
        <v>0.37663017177184493</v>
      </c>
      <c r="H21" s="286">
        <f>'Balance Sheet'!H26</f>
        <v>0.36470259106328456</v>
      </c>
      <c r="I21" s="286">
        <f>'Balance Sheet'!I26</f>
        <v>0.35771375790799842</v>
      </c>
      <c r="J21" s="286">
        <f>'Balance Sheet'!J26</f>
        <v>0.33399496997910305</v>
      </c>
      <c r="K21" s="286">
        <f>'Balance Sheet'!K26</f>
        <v>0.31416413456505643</v>
      </c>
    </row>
    <row r="22" spans="1:11" x14ac:dyDescent="0.25">
      <c r="A22" s="8" t="str">
        <f>'Balance Sheet'!A27</f>
        <v>Return on Capital Employed</v>
      </c>
      <c r="B22" s="286">
        <f>'Balance Sheet'!B27</f>
        <v>0.45988131695899204</v>
      </c>
      <c r="C22" s="286">
        <f>'Balance Sheet'!C27</f>
        <v>0.80254598490534013</v>
      </c>
      <c r="D22" s="286">
        <f>'Balance Sheet'!D27</f>
        <v>0.66310170685124503</v>
      </c>
      <c r="E22" s="286">
        <f>'Balance Sheet'!E27</f>
        <v>0.57613384784609312</v>
      </c>
      <c r="F22" s="286">
        <f>'Balance Sheet'!F27</f>
        <v>0.44992758267791882</v>
      </c>
      <c r="G22" s="286">
        <f>'Balance Sheet'!G27</f>
        <v>0.48929408425714616</v>
      </c>
      <c r="H22" s="286">
        <f>'Balance Sheet'!H27</f>
        <v>0.51058576772613451</v>
      </c>
      <c r="I22" s="286">
        <f>'Balance Sheet'!I27</f>
        <v>0.50255308503906893</v>
      </c>
      <c r="J22" s="286">
        <f>'Balance Sheet'!J27</f>
        <v>0.46131700307280332</v>
      </c>
      <c r="K22" s="286">
        <f>'Balance Sheet'!K27</f>
        <v>0.44612656429498826</v>
      </c>
    </row>
    <row r="23" spans="1:11" x14ac:dyDescent="0.25">
      <c r="A23" s="8" t="s">
        <v>284</v>
      </c>
      <c r="B23" s="289">
        <f>'Cash Flow'!B12</f>
        <v>984.1099999999999</v>
      </c>
      <c r="C23" s="289">
        <f>'Cash Flow'!C12</f>
        <v>2371.56</v>
      </c>
      <c r="D23" s="289">
        <f>'Cash Flow'!D12</f>
        <v>2042.59</v>
      </c>
      <c r="E23" s="289">
        <f>'Cash Flow'!E12</f>
        <v>1995.6600000000003</v>
      </c>
      <c r="F23" s="289">
        <f>'Cash Flow'!F12</f>
        <v>1325.43</v>
      </c>
      <c r="G23" s="289">
        <f>'Cash Flow'!G12</f>
        <v>2356.41</v>
      </c>
      <c r="H23" s="289">
        <f>'Cash Flow'!H12</f>
        <v>1313</v>
      </c>
      <c r="I23" s="289">
        <f>'Cash Flow'!I12</f>
        <v>2693.14</v>
      </c>
      <c r="J23" s="289">
        <f>'Cash Flow'!J12</f>
        <v>2390.02</v>
      </c>
      <c r="K23" s="289">
        <f>'Cash Flow'!K12</f>
        <v>2742.85</v>
      </c>
    </row>
  </sheetData>
  <mergeCells count="2">
    <mergeCell ref="A1:K1"/>
    <mergeCell ref="A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7C0B-88D5-4F08-8699-F7CC374FBF5A}">
  <dimension ref="A1:R137"/>
  <sheetViews>
    <sheetView tabSelected="1" workbookViewId="0">
      <selection sqref="A1:R1"/>
    </sheetView>
  </sheetViews>
  <sheetFormatPr defaultRowHeight="12.5" x14ac:dyDescent="0.25"/>
  <cols>
    <col min="1" max="1" width="24.36328125" style="8" customWidth="1"/>
    <col min="2" max="2" width="8.26953125" style="8" bestFit="1" customWidth="1"/>
    <col min="3" max="3" width="8" style="8" bestFit="1" customWidth="1"/>
    <col min="4" max="11" width="7.453125" style="8" bestFit="1" customWidth="1"/>
    <col min="12" max="12" width="6" style="8" bestFit="1" customWidth="1"/>
    <col min="13" max="13" width="6" style="8" customWidth="1"/>
    <col min="14" max="16" width="5.453125" style="8" bestFit="1" customWidth="1"/>
    <col min="17" max="16384" width="8.7265625" style="8"/>
  </cols>
  <sheetData>
    <row r="1" spans="1:18" ht="19" x14ac:dyDescent="0.4">
      <c r="A1" s="415" t="s">
        <v>357</v>
      </c>
      <c r="B1" s="415"/>
      <c r="C1" s="415"/>
      <c r="D1" s="415"/>
      <c r="E1" s="415"/>
      <c r="F1" s="415"/>
      <c r="G1" s="415"/>
      <c r="H1" s="415"/>
      <c r="I1" s="415"/>
      <c r="J1" s="415"/>
      <c r="K1" s="415"/>
      <c r="L1" s="415"/>
      <c r="M1" s="415"/>
      <c r="N1" s="415"/>
      <c r="O1" s="415"/>
      <c r="P1" s="415"/>
      <c r="Q1" s="415"/>
      <c r="R1" s="415"/>
    </row>
    <row r="3" spans="1:18" ht="13.5" thickBot="1" x14ac:dyDescent="0.35">
      <c r="A3" s="20" t="s">
        <v>317</v>
      </c>
    </row>
    <row r="4" spans="1:18" ht="14.5" customHeight="1" x14ac:dyDescent="0.3">
      <c r="A4" s="350"/>
      <c r="B4" s="351" t="s">
        <v>301</v>
      </c>
      <c r="C4" s="351" t="s">
        <v>302</v>
      </c>
      <c r="D4" s="351" t="s">
        <v>303</v>
      </c>
      <c r="E4" s="351" t="s">
        <v>304</v>
      </c>
      <c r="F4" s="351" t="s">
        <v>305</v>
      </c>
      <c r="G4" s="351" t="s">
        <v>306</v>
      </c>
      <c r="H4" s="351" t="s">
        <v>307</v>
      </c>
      <c r="I4" s="351" t="s">
        <v>308</v>
      </c>
      <c r="J4" s="351" t="s">
        <v>309</v>
      </c>
      <c r="K4" s="351" t="s">
        <v>114</v>
      </c>
      <c r="L4" s="352" t="s">
        <v>315</v>
      </c>
      <c r="M4" s="20"/>
      <c r="N4" s="414" t="s">
        <v>328</v>
      </c>
      <c r="O4" s="414"/>
      <c r="P4" s="414"/>
      <c r="Q4" s="414"/>
      <c r="R4" s="414"/>
    </row>
    <row r="5" spans="1:18" ht="12.5" customHeight="1" x14ac:dyDescent="0.25">
      <c r="A5" s="297" t="s">
        <v>310</v>
      </c>
      <c r="B5" s="295">
        <v>12319.12</v>
      </c>
      <c r="C5" s="295">
        <v>15758.18</v>
      </c>
      <c r="D5" s="295">
        <v>19397.93</v>
      </c>
      <c r="E5" s="295">
        <v>23579.03</v>
      </c>
      <c r="F5" s="295">
        <v>23768.11</v>
      </c>
      <c r="G5" s="295">
        <v>25275.47</v>
      </c>
      <c r="H5" s="295">
        <v>27585.3</v>
      </c>
      <c r="I5" s="295">
        <v>28442.7</v>
      </c>
      <c r="J5" s="295">
        <v>28500.46</v>
      </c>
      <c r="K5" s="295">
        <v>32230.49</v>
      </c>
      <c r="L5" s="214">
        <f>(K5/B5)^(1/9)-1</f>
        <v>0.11278097342318194</v>
      </c>
      <c r="M5" s="23"/>
      <c r="N5" s="414"/>
      <c r="O5" s="414"/>
      <c r="P5" s="414"/>
      <c r="Q5" s="414"/>
      <c r="R5" s="414"/>
    </row>
    <row r="6" spans="1:18" ht="13" x14ac:dyDescent="0.3">
      <c r="A6" s="262" t="s">
        <v>313</v>
      </c>
      <c r="B6" s="111"/>
      <c r="C6" s="117">
        <f>C5/B5-1</f>
        <v>0.27916442083525439</v>
      </c>
      <c r="D6" s="117">
        <f t="shared" ref="D6:K6" si="0">D5/C5-1</f>
        <v>0.23097527760185499</v>
      </c>
      <c r="E6" s="117">
        <f t="shared" si="0"/>
        <v>0.21554361728287486</v>
      </c>
      <c r="F6" s="117">
        <f t="shared" si="0"/>
        <v>8.0189897548796907E-3</v>
      </c>
      <c r="G6" s="117">
        <f t="shared" si="0"/>
        <v>6.3419430489003892E-2</v>
      </c>
      <c r="H6" s="117">
        <f t="shared" si="0"/>
        <v>9.1386233371723469E-2</v>
      </c>
      <c r="I6" s="117">
        <f t="shared" si="0"/>
        <v>3.1081771813248338E-2</v>
      </c>
      <c r="J6" s="117">
        <f t="shared" si="0"/>
        <v>2.0307495420617272E-3</v>
      </c>
      <c r="K6" s="117">
        <f t="shared" si="0"/>
        <v>0.13087613322732339</v>
      </c>
      <c r="L6" s="298"/>
      <c r="N6" s="414"/>
      <c r="O6" s="414"/>
      <c r="P6" s="414"/>
      <c r="Q6" s="414"/>
      <c r="R6" s="414"/>
    </row>
    <row r="7" spans="1:18" ht="13" x14ac:dyDescent="0.3">
      <c r="A7" s="262" t="s">
        <v>314</v>
      </c>
      <c r="B7" s="117">
        <f>B5/(B$5+B$8+B$11)</f>
        <v>0.50413815681780982</v>
      </c>
      <c r="C7" s="117">
        <f t="shared" ref="C7:K7" si="1">C5/(C$5+C$8+C$11)</f>
        <v>0.49766157315222592</v>
      </c>
      <c r="D7" s="117">
        <f t="shared" si="1"/>
        <v>0.46059388759929937</v>
      </c>
      <c r="E7" s="117">
        <f t="shared" si="1"/>
        <v>0.46862637930486217</v>
      </c>
      <c r="F7" s="117">
        <f t="shared" si="1"/>
        <v>0.46623015005095197</v>
      </c>
      <c r="G7" s="117">
        <f t="shared" si="1"/>
        <v>0.47332606737491034</v>
      </c>
      <c r="H7" s="117">
        <f t="shared" si="1"/>
        <v>0.46563834043135011</v>
      </c>
      <c r="I7" s="117">
        <f t="shared" si="1"/>
        <v>0.45776474928010286</v>
      </c>
      <c r="J7" s="117">
        <f t="shared" si="1"/>
        <v>0.45672020890205434</v>
      </c>
      <c r="K7" s="117">
        <f t="shared" si="1"/>
        <v>0.44440481063996212</v>
      </c>
      <c r="L7" s="298"/>
      <c r="N7" s="414"/>
      <c r="O7" s="414"/>
      <c r="P7" s="414"/>
      <c r="Q7" s="414"/>
      <c r="R7" s="414"/>
    </row>
    <row r="8" spans="1:18" ht="13" x14ac:dyDescent="0.3">
      <c r="A8" s="297" t="s">
        <v>311</v>
      </c>
      <c r="B8" s="295">
        <v>8446.0300000000007</v>
      </c>
      <c r="C8" s="296">
        <v>11543.16</v>
      </c>
      <c r="D8" s="295">
        <v>16429.09</v>
      </c>
      <c r="E8" s="295">
        <v>19594.650000000001</v>
      </c>
      <c r="F8" s="295">
        <v>20041.990000000002</v>
      </c>
      <c r="G8" s="295">
        <v>20158.29</v>
      </c>
      <c r="H8" s="295">
        <v>21614.27</v>
      </c>
      <c r="I8" s="295">
        <v>22586.52</v>
      </c>
      <c r="J8" s="295">
        <v>21766.68</v>
      </c>
      <c r="K8" s="295">
        <v>25164.92</v>
      </c>
      <c r="L8" s="214">
        <f>(K8/B8)^(1/9)-1</f>
        <v>0.12897038122585824</v>
      </c>
      <c r="M8" s="23"/>
      <c r="N8" s="414"/>
      <c r="O8" s="414"/>
      <c r="P8" s="414"/>
      <c r="Q8" s="414"/>
      <c r="R8" s="414"/>
    </row>
    <row r="9" spans="1:18" ht="13" x14ac:dyDescent="0.3">
      <c r="A9" s="262" t="s">
        <v>313</v>
      </c>
      <c r="B9" s="111"/>
      <c r="C9" s="117">
        <f>C8/B8-1</f>
        <v>0.36669654263600759</v>
      </c>
      <c r="D9" s="117">
        <f t="shared" ref="D9" si="2">D8/C8-1</f>
        <v>0.42327490912367161</v>
      </c>
      <c r="E9" s="117">
        <f t="shared" ref="E9" si="3">E8/D8-1</f>
        <v>0.19268017887783206</v>
      </c>
      <c r="F9" s="117">
        <f t="shared" ref="F9" si="4">F8/E8-1</f>
        <v>2.2829700964293931E-2</v>
      </c>
      <c r="G9" s="117">
        <f t="shared" ref="G9" si="5">G8/F8-1</f>
        <v>5.8028169857384793E-3</v>
      </c>
      <c r="H9" s="117">
        <f t="shared" ref="H9" si="6">H8/G8-1</f>
        <v>7.2227356586297642E-2</v>
      </c>
      <c r="I9" s="117">
        <f t="shared" ref="I9" si="7">I8/H8-1</f>
        <v>4.4981856893617111E-2</v>
      </c>
      <c r="J9" s="117">
        <f t="shared" ref="J9" si="8">J8/I8-1</f>
        <v>-3.6297756360873623E-2</v>
      </c>
      <c r="K9" s="117">
        <f t="shared" ref="K9" si="9">K8/J8-1</f>
        <v>0.15612119073740227</v>
      </c>
      <c r="L9" s="298"/>
      <c r="N9" s="414"/>
      <c r="O9" s="414"/>
      <c r="P9" s="414"/>
      <c r="Q9" s="414"/>
      <c r="R9" s="414"/>
    </row>
    <row r="10" spans="1:18" ht="13" x14ac:dyDescent="0.3">
      <c r="A10" s="262" t="s">
        <v>314</v>
      </c>
      <c r="B10" s="117">
        <f>B8/(B$5+B$8+B$11)</f>
        <v>0.34563881158945819</v>
      </c>
      <c r="C10" s="117">
        <f t="shared" ref="C10:K10" si="10">C8/(C$5+C$8+C$11)</f>
        <v>0.36454636035048765</v>
      </c>
      <c r="D10" s="117">
        <f t="shared" si="10"/>
        <v>0.39010030620889824</v>
      </c>
      <c r="E10" s="117">
        <f t="shared" si="10"/>
        <v>0.3894379829554489</v>
      </c>
      <c r="F10" s="117">
        <f t="shared" si="10"/>
        <v>0.39313937898384343</v>
      </c>
      <c r="G10" s="117">
        <f t="shared" si="10"/>
        <v>0.37749818819206848</v>
      </c>
      <c r="H10" s="117">
        <f t="shared" si="10"/>
        <v>0.36484768381837857</v>
      </c>
      <c r="I10" s="117">
        <f t="shared" si="10"/>
        <v>0.36351375449271794</v>
      </c>
      <c r="J10" s="117">
        <f t="shared" si="10"/>
        <v>0.34881130468435134</v>
      </c>
      <c r="K10" s="117">
        <f t="shared" si="10"/>
        <v>0.34698236072023086</v>
      </c>
      <c r="L10" s="298"/>
      <c r="N10" s="414"/>
      <c r="O10" s="414"/>
      <c r="P10" s="414"/>
      <c r="Q10" s="414"/>
      <c r="R10" s="414"/>
    </row>
    <row r="11" spans="1:18" ht="13" x14ac:dyDescent="0.3">
      <c r="A11" s="297" t="s">
        <v>312</v>
      </c>
      <c r="B11" s="295">
        <v>3670.85</v>
      </c>
      <c r="C11" s="296">
        <v>4363.1099999999997</v>
      </c>
      <c r="D11" s="295">
        <v>6288.02</v>
      </c>
      <c r="E11" s="295">
        <v>7141.52</v>
      </c>
      <c r="F11" s="295">
        <v>7169.25</v>
      </c>
      <c r="G11" s="295">
        <v>7965.94</v>
      </c>
      <c r="H11" s="295">
        <v>10042.33</v>
      </c>
      <c r="I11" s="295">
        <v>11104.66</v>
      </c>
      <c r="J11" s="295">
        <v>12135.31</v>
      </c>
      <c r="K11" s="295">
        <v>15129.66</v>
      </c>
      <c r="L11" s="214">
        <f>(K11/B11)^(1/9)-1</f>
        <v>0.17041608351903537</v>
      </c>
      <c r="M11" s="23"/>
      <c r="N11" s="414"/>
      <c r="O11" s="414"/>
      <c r="P11" s="414"/>
      <c r="Q11" s="414"/>
      <c r="R11" s="414"/>
    </row>
    <row r="12" spans="1:18" ht="13" x14ac:dyDescent="0.3">
      <c r="A12" s="262" t="s">
        <v>313</v>
      </c>
      <c r="B12" s="111"/>
      <c r="C12" s="117">
        <f>C11/B11-1</f>
        <v>0.18858302572973562</v>
      </c>
      <c r="D12" s="117">
        <f t="shared" ref="D12" si="11">D11/C11-1</f>
        <v>0.44117842548090724</v>
      </c>
      <c r="E12" s="117">
        <f t="shared" ref="E12" si="12">E11/D11-1</f>
        <v>0.13573430109955109</v>
      </c>
      <c r="F12" s="117">
        <f t="shared" ref="F12" si="13">F11/E11-1</f>
        <v>3.882926883912674E-3</v>
      </c>
      <c r="G12" s="117">
        <f t="shared" ref="G12" si="14">G11/F11-1</f>
        <v>0.11112598946891228</v>
      </c>
      <c r="H12" s="117">
        <f t="shared" ref="H12" si="15">H11/G11-1</f>
        <v>0.26065850357898768</v>
      </c>
      <c r="I12" s="117">
        <f t="shared" ref="I12" si="16">I11/H11-1</f>
        <v>0.10578521120098627</v>
      </c>
      <c r="J12" s="117">
        <f t="shared" ref="J12" si="17">J11/I11-1</f>
        <v>9.2812386871817809E-2</v>
      </c>
      <c r="K12" s="117">
        <f t="shared" ref="K12" si="18">K11/J11-1</f>
        <v>0.24674688986107496</v>
      </c>
      <c r="L12" s="298"/>
      <c r="N12" s="414"/>
      <c r="O12" s="414"/>
      <c r="P12" s="414"/>
      <c r="Q12" s="414"/>
      <c r="R12" s="414"/>
    </row>
    <row r="13" spans="1:18" ht="13.5" thickBot="1" x14ac:dyDescent="0.35">
      <c r="A13" s="264" t="s">
        <v>314</v>
      </c>
      <c r="B13" s="265">
        <f>B11/(B$5+B$8+B$11)</f>
        <v>0.15022303159273204</v>
      </c>
      <c r="C13" s="265">
        <f t="shared" ref="C13:K13" si="19">C11/(C$5+C$8+C$11)</f>
        <v>0.13779206649728637</v>
      </c>
      <c r="D13" s="265">
        <f t="shared" si="19"/>
        <v>0.14930580619180225</v>
      </c>
      <c r="E13" s="265">
        <f t="shared" si="19"/>
        <v>0.14193563773968901</v>
      </c>
      <c r="F13" s="265">
        <f t="shared" si="19"/>
        <v>0.14063047096520453</v>
      </c>
      <c r="G13" s="265">
        <f t="shared" si="19"/>
        <v>0.14917574443302115</v>
      </c>
      <c r="H13" s="265">
        <f t="shared" si="19"/>
        <v>0.16951397575027133</v>
      </c>
      <c r="I13" s="265">
        <f t="shared" si="19"/>
        <v>0.17872149622717909</v>
      </c>
      <c r="J13" s="265">
        <f t="shared" si="19"/>
        <v>0.19446848641359435</v>
      </c>
      <c r="K13" s="265">
        <f t="shared" si="19"/>
        <v>0.20861282863980687</v>
      </c>
      <c r="L13" s="299"/>
      <c r="N13" s="414"/>
      <c r="O13" s="414"/>
      <c r="P13" s="414"/>
      <c r="Q13" s="414"/>
      <c r="R13" s="414"/>
    </row>
    <row r="15" spans="1:18" ht="13.5" thickBot="1" x14ac:dyDescent="0.35">
      <c r="A15" s="20" t="s">
        <v>318</v>
      </c>
    </row>
    <row r="16" spans="1:18" ht="13" x14ac:dyDescent="0.3">
      <c r="A16" s="350"/>
      <c r="B16" s="351" t="s">
        <v>301</v>
      </c>
      <c r="C16" s="351" t="s">
        <v>302</v>
      </c>
      <c r="D16" s="351" t="s">
        <v>303</v>
      </c>
      <c r="E16" s="351" t="s">
        <v>304</v>
      </c>
      <c r="F16" s="351" t="s">
        <v>305</v>
      </c>
      <c r="G16" s="351" t="s">
        <v>306</v>
      </c>
      <c r="H16" s="351" t="s">
        <v>307</v>
      </c>
      <c r="I16" s="351" t="s">
        <v>308</v>
      </c>
      <c r="J16" s="351" t="s">
        <v>309</v>
      </c>
      <c r="K16" s="351" t="s">
        <v>114</v>
      </c>
      <c r="L16" s="352" t="s">
        <v>315</v>
      </c>
      <c r="M16" s="20"/>
    </row>
    <row r="17" spans="1:18" ht="12.5" customHeight="1" x14ac:dyDescent="0.25">
      <c r="A17" s="297" t="s">
        <v>310</v>
      </c>
      <c r="B17" s="295">
        <v>1781.4600000000003</v>
      </c>
      <c r="C17" s="295">
        <v>2831.7300000000014</v>
      </c>
      <c r="D17" s="295">
        <v>2404.760000000002</v>
      </c>
      <c r="E17" s="295">
        <v>2864.7099999999991</v>
      </c>
      <c r="F17" s="295">
        <v>2529.2000000000035</v>
      </c>
      <c r="G17" s="295">
        <v>2867.2500000000014</v>
      </c>
      <c r="H17" s="295">
        <v>3328.8199999999952</v>
      </c>
      <c r="I17" s="295">
        <v>4434.8700000000008</v>
      </c>
      <c r="J17" s="295">
        <v>4658.4600000000055</v>
      </c>
      <c r="K17" s="295">
        <v>5244.1600000000017</v>
      </c>
      <c r="L17" s="214">
        <f>(K17/B17)^(1/9)-1</f>
        <v>0.12745699197215377</v>
      </c>
      <c r="M17" s="23"/>
      <c r="N17" s="414" t="s">
        <v>329</v>
      </c>
      <c r="O17" s="414"/>
      <c r="P17" s="414"/>
      <c r="Q17" s="414"/>
      <c r="R17" s="414"/>
    </row>
    <row r="18" spans="1:18" ht="13" x14ac:dyDescent="0.3">
      <c r="A18" s="262" t="s">
        <v>313</v>
      </c>
      <c r="B18" s="111"/>
      <c r="C18" s="117">
        <f>C17/B17-1</f>
        <v>0.58955575763699497</v>
      </c>
      <c r="D18" s="117">
        <f t="shared" ref="D18" si="20">D17/C17-1</f>
        <v>-0.15078061820865662</v>
      </c>
      <c r="E18" s="117">
        <f t="shared" ref="E18" si="21">E17/D17-1</f>
        <v>0.19126648813187042</v>
      </c>
      <c r="F18" s="117">
        <f t="shared" ref="F18" si="22">F17/E17-1</f>
        <v>-0.11711831215026858</v>
      </c>
      <c r="G18" s="117">
        <f t="shared" ref="G18" si="23">G17/F17-1</f>
        <v>0.13365886446307029</v>
      </c>
      <c r="H18" s="117">
        <f t="shared" ref="H18" si="24">H17/G17-1</f>
        <v>0.16098003313279041</v>
      </c>
      <c r="I18" s="117">
        <f t="shared" ref="I18" si="25">I17/H17-1</f>
        <v>0.3322648866565352</v>
      </c>
      <c r="J18" s="117">
        <f t="shared" ref="J18" si="26">J17/I17-1</f>
        <v>5.0416359442329695E-2</v>
      </c>
      <c r="K18" s="117">
        <f t="shared" ref="K18" si="27">K17/J17-1</f>
        <v>0.12572824495648671</v>
      </c>
      <c r="L18" s="298"/>
      <c r="N18" s="414"/>
      <c r="O18" s="414"/>
      <c r="P18" s="414"/>
      <c r="Q18" s="414"/>
      <c r="R18" s="414"/>
    </row>
    <row r="19" spans="1:18" ht="13" x14ac:dyDescent="0.3">
      <c r="A19" s="262" t="s">
        <v>314</v>
      </c>
      <c r="B19" s="117">
        <f>B17/(B$17+B$20+B$23)</f>
        <v>0.68008673543402054</v>
      </c>
      <c r="C19" s="117">
        <f t="shared" ref="C19:K19" si="28">C17/(C$17+C$20+C$23)</f>
        <v>0.54561271676300571</v>
      </c>
      <c r="D19" s="117">
        <f t="shared" si="28"/>
        <v>0.33993576622524824</v>
      </c>
      <c r="E19" s="117">
        <f t="shared" si="28"/>
        <v>0.40095034150711001</v>
      </c>
      <c r="F19" s="117">
        <f t="shared" si="28"/>
        <v>0.36620362728660089</v>
      </c>
      <c r="G19" s="117">
        <f t="shared" si="28"/>
        <v>0.36713676220524066</v>
      </c>
      <c r="H19" s="117">
        <f t="shared" si="28"/>
        <v>0.42634108106169621</v>
      </c>
      <c r="I19" s="117">
        <f t="shared" si="28"/>
        <v>0.41348147623274234</v>
      </c>
      <c r="J19" s="117">
        <f t="shared" si="28"/>
        <v>0.42650438272836994</v>
      </c>
      <c r="K19" s="117">
        <f t="shared" si="28"/>
        <v>0.43584599248346517</v>
      </c>
      <c r="L19" s="298"/>
      <c r="N19" s="414"/>
      <c r="O19" s="414"/>
      <c r="P19" s="414"/>
      <c r="Q19" s="414"/>
      <c r="R19" s="414"/>
    </row>
    <row r="20" spans="1:18" ht="13" x14ac:dyDescent="0.3">
      <c r="A20" s="297" t="s">
        <v>311</v>
      </c>
      <c r="B20" s="295">
        <v>806.900000000001</v>
      </c>
      <c r="C20" s="296">
        <v>2282.1000000000013</v>
      </c>
      <c r="D20" s="295">
        <v>4421.3099999999986</v>
      </c>
      <c r="E20" s="295">
        <v>3963.6299999999997</v>
      </c>
      <c r="F20" s="295">
        <v>4213.7600000000048</v>
      </c>
      <c r="G20" s="295">
        <v>4589.9700000000012</v>
      </c>
      <c r="H20" s="295">
        <v>4022.9000000000024</v>
      </c>
      <c r="I20" s="295">
        <v>5661.87</v>
      </c>
      <c r="J20" s="295">
        <v>5565.2800000000043</v>
      </c>
      <c r="K20" s="295">
        <v>5909.3400000000011</v>
      </c>
      <c r="L20" s="214">
        <f>(K20/B20)^(1/9)-1</f>
        <v>0.2476130766380864</v>
      </c>
      <c r="M20" s="23"/>
      <c r="N20" s="414"/>
      <c r="O20" s="414"/>
      <c r="P20" s="414"/>
      <c r="Q20" s="414"/>
      <c r="R20" s="414"/>
    </row>
    <row r="21" spans="1:18" ht="13" x14ac:dyDescent="0.3">
      <c r="A21" s="262" t="s">
        <v>313</v>
      </c>
      <c r="B21" s="111"/>
      <c r="C21" s="117">
        <f>C20/B20-1</f>
        <v>1.8282315032841723</v>
      </c>
      <c r="D21" s="117">
        <f t="shared" ref="D21" si="29">D20/C20-1</f>
        <v>0.93738661758906106</v>
      </c>
      <c r="E21" s="117">
        <f t="shared" ref="E21" si="30">E20/D20-1</f>
        <v>-0.10351683098448172</v>
      </c>
      <c r="F21" s="117">
        <f t="shared" ref="F21" si="31">F20/E20-1</f>
        <v>6.3106293977996275E-2</v>
      </c>
      <c r="G21" s="117">
        <f t="shared" ref="G21" si="32">G20/F20-1</f>
        <v>8.9281306956256579E-2</v>
      </c>
      <c r="H21" s="117">
        <f t="shared" ref="H21" si="33">H20/G20-1</f>
        <v>-0.12354546979609859</v>
      </c>
      <c r="I21" s="117">
        <f t="shared" ref="I21" si="34">I20/H20-1</f>
        <v>0.4074100773074143</v>
      </c>
      <c r="J21" s="117">
        <f t="shared" ref="J21" si="35">J20/I20-1</f>
        <v>-1.7059734681297067E-2</v>
      </c>
      <c r="K21" s="117">
        <f t="shared" ref="K21" si="36">K20/J20-1</f>
        <v>6.1822585745909819E-2</v>
      </c>
      <c r="L21" s="298"/>
      <c r="N21" s="414"/>
      <c r="O21" s="414"/>
      <c r="P21" s="414"/>
      <c r="Q21" s="414"/>
      <c r="R21" s="414"/>
    </row>
    <row r="22" spans="1:18" ht="13" x14ac:dyDescent="0.3">
      <c r="A22" s="262" t="s">
        <v>314</v>
      </c>
      <c r="B22" s="117">
        <f>B20/(B$17+B$20+B$23)</f>
        <v>0.30804058851824445</v>
      </c>
      <c r="C22" s="117">
        <f t="shared" ref="C22:K22" si="37">C20/(C$17+C$20+C$23)</f>
        <v>0.43971098265895953</v>
      </c>
      <c r="D22" s="117">
        <f t="shared" si="37"/>
        <v>0.62499434561841949</v>
      </c>
      <c r="E22" s="117">
        <f t="shared" si="37"/>
        <v>0.55475730601276452</v>
      </c>
      <c r="F22" s="117">
        <f t="shared" si="37"/>
        <v>0.61011157540534044</v>
      </c>
      <c r="G22" s="117">
        <f t="shared" si="37"/>
        <v>0.58772228596013187</v>
      </c>
      <c r="H22" s="117">
        <f t="shared" si="37"/>
        <v>0.51523588989584934</v>
      </c>
      <c r="I22" s="117">
        <f t="shared" si="37"/>
        <v>0.52787981741017809</v>
      </c>
      <c r="J22" s="117">
        <f t="shared" si="37"/>
        <v>0.50952810823974914</v>
      </c>
      <c r="K22" s="117">
        <f t="shared" si="37"/>
        <v>0.49112959124478267</v>
      </c>
      <c r="L22" s="298"/>
      <c r="N22" s="414"/>
      <c r="O22" s="414"/>
      <c r="P22" s="414"/>
      <c r="Q22" s="414"/>
      <c r="R22" s="414"/>
    </row>
    <row r="23" spans="1:18" ht="13" x14ac:dyDescent="0.3">
      <c r="A23" s="297" t="s">
        <v>312</v>
      </c>
      <c r="B23" s="295">
        <v>31.100000000000037</v>
      </c>
      <c r="C23" s="296">
        <v>76.169999999999661</v>
      </c>
      <c r="D23" s="295">
        <v>248.08999999999963</v>
      </c>
      <c r="E23" s="295">
        <v>316.46000000000072</v>
      </c>
      <c r="F23" s="295">
        <v>163.58000000000021</v>
      </c>
      <c r="G23" s="295">
        <v>352.54000000000008</v>
      </c>
      <c r="H23" s="295">
        <v>456.15999999999889</v>
      </c>
      <c r="I23" s="295">
        <v>628.94000000000074</v>
      </c>
      <c r="J23" s="295">
        <v>698.6799999999987</v>
      </c>
      <c r="K23" s="295">
        <v>878.63999999999908</v>
      </c>
      <c r="L23" s="214">
        <f>(K23/B23)^(1/9)-1</f>
        <v>0.44953211706883534</v>
      </c>
      <c r="M23" s="23"/>
      <c r="N23" s="414"/>
      <c r="O23" s="414"/>
      <c r="P23" s="414"/>
      <c r="Q23" s="414"/>
      <c r="R23" s="414"/>
    </row>
    <row r="24" spans="1:18" ht="13" x14ac:dyDescent="0.3">
      <c r="A24" s="262" t="s">
        <v>313</v>
      </c>
      <c r="B24" s="111"/>
      <c r="C24" s="117">
        <f>C23/B23-1</f>
        <v>1.4491961414790859</v>
      </c>
      <c r="D24" s="117">
        <f t="shared" ref="D24" si="38">D23/C23-1</f>
        <v>2.2570565839569481</v>
      </c>
      <c r="E24" s="117">
        <f t="shared" ref="E24" si="39">E23/D23-1</f>
        <v>0.2755854730138303</v>
      </c>
      <c r="F24" s="117">
        <f t="shared" ref="F24" si="40">F23/E23-1</f>
        <v>-0.48309422991847362</v>
      </c>
      <c r="G24" s="117">
        <f t="shared" ref="G24" si="41">G23/F23-1</f>
        <v>1.1551534417410418</v>
      </c>
      <c r="H24" s="117">
        <f t="shared" ref="H24" si="42">H23/G23-1</f>
        <v>0.29392409371985817</v>
      </c>
      <c r="I24" s="117">
        <f t="shared" ref="I24" si="43">I23/H23-1</f>
        <v>0.37877060680463503</v>
      </c>
      <c r="J24" s="117">
        <f t="shared" ref="J24" si="44">J23/I23-1</f>
        <v>0.11088498107927292</v>
      </c>
      <c r="K24" s="117">
        <f t="shared" ref="K24" si="45">K23/J23-1</f>
        <v>0.25757142039274172</v>
      </c>
      <c r="L24" s="298"/>
      <c r="N24" s="414"/>
      <c r="O24" s="414"/>
      <c r="P24" s="414"/>
      <c r="Q24" s="414"/>
      <c r="R24" s="414"/>
    </row>
    <row r="25" spans="1:18" ht="13.5" thickBot="1" x14ac:dyDescent="0.35">
      <c r="A25" s="264" t="s">
        <v>314</v>
      </c>
      <c r="B25" s="265">
        <f>B23/(B$17+B$20+B$23)</f>
        <v>1.1872676047735037E-2</v>
      </c>
      <c r="C25" s="265">
        <f t="shared" ref="C25:K25" si="46">C23/(C$17+C$20+C$23)</f>
        <v>1.467630057803461E-2</v>
      </c>
      <c r="D25" s="265">
        <f t="shared" si="46"/>
        <v>3.5069888156332288E-2</v>
      </c>
      <c r="E25" s="265">
        <f t="shared" si="46"/>
        <v>4.4292352480125509E-2</v>
      </c>
      <c r="F25" s="265">
        <f t="shared" si="46"/>
        <v>2.3684797308058742E-2</v>
      </c>
      <c r="G25" s="265">
        <f t="shared" si="46"/>
        <v>4.5140951834627435E-2</v>
      </c>
      <c r="H25" s="265">
        <f t="shared" si="46"/>
        <v>5.842302904245443E-2</v>
      </c>
      <c r="I25" s="265">
        <f t="shared" si="46"/>
        <v>5.8638706357079518E-2</v>
      </c>
      <c r="J25" s="265">
        <f t="shared" si="46"/>
        <v>6.3967509031881045E-2</v>
      </c>
      <c r="K25" s="265">
        <f t="shared" si="46"/>
        <v>7.302441627175206E-2</v>
      </c>
      <c r="L25" s="299"/>
      <c r="N25" s="414"/>
      <c r="O25" s="414"/>
      <c r="P25" s="414"/>
      <c r="Q25" s="414"/>
      <c r="R25" s="414"/>
    </row>
    <row r="27" spans="1:18" ht="13.5" thickBot="1" x14ac:dyDescent="0.35">
      <c r="A27" s="20" t="s">
        <v>100</v>
      </c>
    </row>
    <row r="28" spans="1:18" ht="13" customHeight="1" x14ac:dyDescent="0.3">
      <c r="A28" s="350"/>
      <c r="B28" s="351" t="s">
        <v>301</v>
      </c>
      <c r="C28" s="351" t="s">
        <v>302</v>
      </c>
      <c r="D28" s="351" t="s">
        <v>303</v>
      </c>
      <c r="E28" s="351" t="s">
        <v>304</v>
      </c>
      <c r="F28" s="351" t="s">
        <v>305</v>
      </c>
      <c r="G28" s="351" t="s">
        <v>306</v>
      </c>
      <c r="H28" s="351" t="s">
        <v>307</v>
      </c>
      <c r="I28" s="351" t="s">
        <v>308</v>
      </c>
      <c r="J28" s="351" t="s">
        <v>309</v>
      </c>
      <c r="K28" s="353" t="s">
        <v>114</v>
      </c>
      <c r="L28" s="20"/>
      <c r="M28" s="20"/>
    </row>
    <row r="29" spans="1:18" x14ac:dyDescent="0.25">
      <c r="A29" s="297" t="s">
        <v>310</v>
      </c>
      <c r="B29" s="300">
        <f>B17/B5</f>
        <v>0.14460935521368409</v>
      </c>
      <c r="C29" s="300">
        <f t="shared" ref="C29:K29" si="47">C17/C5</f>
        <v>0.17969905154021601</v>
      </c>
      <c r="D29" s="300">
        <f t="shared" si="47"/>
        <v>0.12396992875012963</v>
      </c>
      <c r="E29" s="300">
        <f t="shared" si="47"/>
        <v>0.12149397155014431</v>
      </c>
      <c r="F29" s="300">
        <f t="shared" si="47"/>
        <v>0.1064114900175068</v>
      </c>
      <c r="G29" s="300">
        <f t="shared" si="47"/>
        <v>0.11344002703016012</v>
      </c>
      <c r="H29" s="300">
        <f t="shared" si="47"/>
        <v>0.12067369214762919</v>
      </c>
      <c r="I29" s="300">
        <f t="shared" si="47"/>
        <v>0.1559229609003365</v>
      </c>
      <c r="J29" s="300">
        <f t="shared" si="47"/>
        <v>0.16345209866788135</v>
      </c>
      <c r="K29" s="301">
        <f t="shared" si="47"/>
        <v>0.16270804446348788</v>
      </c>
      <c r="L29" s="23"/>
      <c r="M29" s="23"/>
      <c r="N29" s="414" t="s">
        <v>332</v>
      </c>
      <c r="O29" s="414"/>
      <c r="P29" s="414"/>
      <c r="Q29" s="414"/>
      <c r="R29" s="414"/>
    </row>
    <row r="30" spans="1:18" ht="13" x14ac:dyDescent="0.3">
      <c r="A30" s="262" t="s">
        <v>316</v>
      </c>
      <c r="B30" s="117"/>
      <c r="C30" s="117">
        <f>C29-B29</f>
        <v>3.5089696326531916E-2</v>
      </c>
      <c r="D30" s="117">
        <f t="shared" ref="D30:K30" si="48">D29-C29</f>
        <v>-5.5729122790086377E-2</v>
      </c>
      <c r="E30" s="117">
        <f t="shared" si="48"/>
        <v>-2.4759571999853208E-3</v>
      </c>
      <c r="F30" s="117">
        <f t="shared" si="48"/>
        <v>-1.5082481532637512E-2</v>
      </c>
      <c r="G30" s="117">
        <f t="shared" si="48"/>
        <v>7.0285370126533242E-3</v>
      </c>
      <c r="H30" s="117">
        <f t="shared" si="48"/>
        <v>7.2336651174690625E-3</v>
      </c>
      <c r="I30" s="117">
        <f t="shared" si="48"/>
        <v>3.5249268752707313E-2</v>
      </c>
      <c r="J30" s="117">
        <f t="shared" si="48"/>
        <v>7.5291377675448523E-3</v>
      </c>
      <c r="K30" s="302">
        <f t="shared" si="48"/>
        <v>-7.4405420439346837E-4</v>
      </c>
      <c r="N30" s="414"/>
      <c r="O30" s="414"/>
      <c r="P30" s="414"/>
      <c r="Q30" s="414"/>
      <c r="R30" s="414"/>
    </row>
    <row r="31" spans="1:18" x14ac:dyDescent="0.25">
      <c r="A31" s="297" t="s">
        <v>311</v>
      </c>
      <c r="B31" s="300">
        <f>B20/B8</f>
        <v>9.5536009225636292E-2</v>
      </c>
      <c r="C31" s="300">
        <f t="shared" ref="C31:K31" si="49">C20/C8</f>
        <v>0.19770149595084893</v>
      </c>
      <c r="D31" s="300">
        <f t="shared" si="49"/>
        <v>0.26911472272657821</v>
      </c>
      <c r="E31" s="300">
        <f t="shared" si="49"/>
        <v>0.20228123492892189</v>
      </c>
      <c r="F31" s="300">
        <f t="shared" si="49"/>
        <v>0.21024658728998491</v>
      </c>
      <c r="G31" s="300">
        <f t="shared" si="49"/>
        <v>0.22769639686699622</v>
      </c>
      <c r="H31" s="300">
        <f t="shared" si="49"/>
        <v>0.18612240894557172</v>
      </c>
      <c r="I31" s="300">
        <f t="shared" si="49"/>
        <v>0.25067473873797291</v>
      </c>
      <c r="J31" s="300">
        <f t="shared" si="49"/>
        <v>0.2556788632901299</v>
      </c>
      <c r="K31" s="301">
        <f t="shared" si="49"/>
        <v>0.2348245096745788</v>
      </c>
      <c r="L31" s="23"/>
      <c r="M31" s="23"/>
      <c r="N31" s="414"/>
      <c r="O31" s="414"/>
      <c r="P31" s="414"/>
      <c r="Q31" s="414"/>
      <c r="R31" s="414"/>
    </row>
    <row r="32" spans="1:18" ht="13" x14ac:dyDescent="0.3">
      <c r="A32" s="262" t="s">
        <v>316</v>
      </c>
      <c r="B32" s="111"/>
      <c r="C32" s="117">
        <f>C31-B31</f>
        <v>0.10216548672521264</v>
      </c>
      <c r="D32" s="117">
        <f t="shared" ref="D32" si="50">D31-C31</f>
        <v>7.1413226775729283E-2</v>
      </c>
      <c r="E32" s="117">
        <f t="shared" ref="E32" si="51">E31-D31</f>
        <v>-6.6833487797656327E-2</v>
      </c>
      <c r="F32" s="117">
        <f t="shared" ref="F32" si="52">F31-E31</f>
        <v>7.9653523610630217E-3</v>
      </c>
      <c r="G32" s="117">
        <f t="shared" ref="G32" si="53">G31-F31</f>
        <v>1.744980957701131E-2</v>
      </c>
      <c r="H32" s="117">
        <f t="shared" ref="H32" si="54">H31-G31</f>
        <v>-4.1573987921424499E-2</v>
      </c>
      <c r="I32" s="117">
        <f t="shared" ref="I32" si="55">I31-H31</f>
        <v>6.4552329792401192E-2</v>
      </c>
      <c r="J32" s="117">
        <f t="shared" ref="J32" si="56">J31-I31</f>
        <v>5.0041245521569855E-3</v>
      </c>
      <c r="K32" s="302">
        <f t="shared" ref="K32" si="57">K31-J31</f>
        <v>-2.0854353615551102E-2</v>
      </c>
      <c r="N32" s="414"/>
      <c r="O32" s="414"/>
      <c r="P32" s="414"/>
      <c r="Q32" s="414"/>
      <c r="R32" s="414"/>
    </row>
    <row r="33" spans="1:18" x14ac:dyDescent="0.25">
      <c r="A33" s="297" t="s">
        <v>312</v>
      </c>
      <c r="B33" s="300">
        <f>B23/B11</f>
        <v>8.4721522263236145E-3</v>
      </c>
      <c r="C33" s="300">
        <f t="shared" ref="C33:K33" si="58">C23/C11</f>
        <v>1.745773083878235E-2</v>
      </c>
      <c r="D33" s="300">
        <f t="shared" si="58"/>
        <v>3.9454391048374469E-2</v>
      </c>
      <c r="E33" s="300">
        <f t="shared" si="58"/>
        <v>4.4312695336567107E-2</v>
      </c>
      <c r="F33" s="300">
        <f t="shared" si="58"/>
        <v>2.2816891585591269E-2</v>
      </c>
      <c r="G33" s="300">
        <f t="shared" si="58"/>
        <v>4.4255919577601652E-2</v>
      </c>
      <c r="H33" s="300">
        <f t="shared" si="58"/>
        <v>4.5423721387367166E-2</v>
      </c>
      <c r="I33" s="300">
        <f t="shared" si="58"/>
        <v>5.6637483723049671E-2</v>
      </c>
      <c r="J33" s="300">
        <f t="shared" si="58"/>
        <v>5.757413696065438E-2</v>
      </c>
      <c r="K33" s="301">
        <f t="shared" si="58"/>
        <v>5.8074008272492511E-2</v>
      </c>
      <c r="L33" s="23"/>
      <c r="M33" s="23"/>
      <c r="N33" s="414"/>
      <c r="O33" s="414"/>
      <c r="P33" s="414"/>
      <c r="Q33" s="414"/>
      <c r="R33" s="414"/>
    </row>
    <row r="34" spans="1:18" ht="13.5" thickBot="1" x14ac:dyDescent="0.35">
      <c r="A34" s="264" t="s">
        <v>316</v>
      </c>
      <c r="B34" s="303"/>
      <c r="C34" s="265">
        <f>C33-B33</f>
        <v>8.9855786124587358E-3</v>
      </c>
      <c r="D34" s="265">
        <f t="shared" ref="D34" si="59">D33-C33</f>
        <v>2.1996660209592119E-2</v>
      </c>
      <c r="E34" s="265">
        <f t="shared" ref="E34" si="60">E33-D33</f>
        <v>4.8583042881926372E-3</v>
      </c>
      <c r="F34" s="265">
        <f t="shared" ref="F34" si="61">F33-E33</f>
        <v>-2.1495803750975838E-2</v>
      </c>
      <c r="G34" s="265">
        <f t="shared" ref="G34" si="62">G33-F33</f>
        <v>2.1439027992010383E-2</v>
      </c>
      <c r="H34" s="265">
        <f t="shared" ref="H34" si="63">H33-G33</f>
        <v>1.1678018097655146E-3</v>
      </c>
      <c r="I34" s="265">
        <f t="shared" ref="I34" si="64">I33-H33</f>
        <v>1.1213762335682505E-2</v>
      </c>
      <c r="J34" s="265">
        <f t="shared" ref="J34" si="65">J33-I33</f>
        <v>9.3665323760470931E-4</v>
      </c>
      <c r="K34" s="304">
        <f t="shared" ref="K34" si="66">K33-J33</f>
        <v>4.9987131183813066E-4</v>
      </c>
      <c r="N34" s="414"/>
      <c r="O34" s="414"/>
      <c r="P34" s="414"/>
      <c r="Q34" s="414"/>
      <c r="R34" s="414"/>
    </row>
    <row r="36" spans="1:18" ht="13.5" thickBot="1" x14ac:dyDescent="0.35">
      <c r="A36" s="20" t="s">
        <v>319</v>
      </c>
    </row>
    <row r="37" spans="1:18" ht="14.5" customHeight="1" x14ac:dyDescent="0.3">
      <c r="A37" s="350"/>
      <c r="B37" s="351" t="s">
        <v>301</v>
      </c>
      <c r="C37" s="351" t="s">
        <v>302</v>
      </c>
      <c r="D37" s="351" t="s">
        <v>303</v>
      </c>
      <c r="E37" s="351" t="s">
        <v>304</v>
      </c>
      <c r="F37" s="351" t="s">
        <v>305</v>
      </c>
      <c r="G37" s="351" t="s">
        <v>306</v>
      </c>
      <c r="H37" s="351" t="s">
        <v>307</v>
      </c>
      <c r="I37" s="351" t="s">
        <v>308</v>
      </c>
      <c r="J37" s="351" t="s">
        <v>309</v>
      </c>
      <c r="K37" s="351" t="s">
        <v>114</v>
      </c>
      <c r="L37" s="352" t="s">
        <v>315</v>
      </c>
      <c r="M37" s="20"/>
      <c r="N37" s="414" t="s">
        <v>330</v>
      </c>
      <c r="O37" s="414"/>
      <c r="P37" s="414"/>
      <c r="Q37" s="414"/>
      <c r="R37" s="414"/>
    </row>
    <row r="38" spans="1:18" ht="12.5" customHeight="1" x14ac:dyDescent="0.25">
      <c r="A38" s="297" t="s">
        <v>310</v>
      </c>
      <c r="B38" s="295">
        <v>984.1099999999999</v>
      </c>
      <c r="C38" s="295">
        <v>2371.56</v>
      </c>
      <c r="D38" s="295">
        <v>2042.59</v>
      </c>
      <c r="E38" s="295">
        <v>1995.6600000000003</v>
      </c>
      <c r="F38" s="295">
        <v>1325.43</v>
      </c>
      <c r="G38" s="295">
        <v>2356.41</v>
      </c>
      <c r="H38" s="295">
        <v>1313</v>
      </c>
      <c r="I38" s="295">
        <v>2693.14</v>
      </c>
      <c r="J38" s="295">
        <v>2390.02</v>
      </c>
      <c r="K38" s="295">
        <v>2742.85</v>
      </c>
      <c r="L38" s="214">
        <f>(K38/B38)^(1/9)-1</f>
        <v>0.12062948711262322</v>
      </c>
      <c r="M38" s="23"/>
      <c r="N38" s="414"/>
      <c r="O38" s="414"/>
      <c r="P38" s="414"/>
      <c r="Q38" s="414"/>
      <c r="R38" s="414"/>
    </row>
    <row r="39" spans="1:18" ht="13" x14ac:dyDescent="0.3">
      <c r="A39" s="262" t="s">
        <v>313</v>
      </c>
      <c r="B39" s="111"/>
      <c r="C39" s="117">
        <f>C38/B38-1</f>
        <v>1.4098525571328411</v>
      </c>
      <c r="D39" s="117">
        <f t="shared" ref="D39" si="67">D38/C38-1</f>
        <v>-0.13871460135944269</v>
      </c>
      <c r="E39" s="117">
        <f t="shared" ref="E39" si="68">E38/D38-1</f>
        <v>-2.2975731791499809E-2</v>
      </c>
      <c r="F39" s="117">
        <f t="shared" ref="F39" si="69">F38/E38-1</f>
        <v>-0.33584378100478041</v>
      </c>
      <c r="G39" s="117">
        <f t="shared" ref="G39" si="70">G38/F38-1</f>
        <v>0.77784568026979906</v>
      </c>
      <c r="H39" s="117">
        <f t="shared" ref="H39" si="71">H38/G38-1</f>
        <v>-0.44279645732279183</v>
      </c>
      <c r="I39" s="117">
        <f t="shared" ref="I39" si="72">I38/H38-1</f>
        <v>1.051134805788271</v>
      </c>
      <c r="J39" s="117">
        <f t="shared" ref="J39" si="73">J38/I38-1</f>
        <v>-0.11255263372865876</v>
      </c>
      <c r="K39" s="117">
        <f t="shared" ref="K39" si="74">K38/J38-1</f>
        <v>0.14762637969556747</v>
      </c>
      <c r="L39" s="298"/>
      <c r="N39" s="414"/>
      <c r="O39" s="414"/>
      <c r="P39" s="414"/>
      <c r="Q39" s="414"/>
      <c r="R39" s="414"/>
    </row>
    <row r="40" spans="1:18" ht="13" x14ac:dyDescent="0.3">
      <c r="A40" s="262" t="s">
        <v>314</v>
      </c>
      <c r="B40" s="117">
        <f>B38/(B$38+B$41+B$44)</f>
        <v>0.95089522962905693</v>
      </c>
      <c r="C40" s="117">
        <f t="shared" ref="C40:K40" si="75">C38/(C$38+C$41+C$44)</f>
        <v>0.46796175893130226</v>
      </c>
      <c r="D40" s="117">
        <f t="shared" si="75"/>
        <v>0.56749172762708611</v>
      </c>
      <c r="E40" s="117">
        <f t="shared" si="75"/>
        <v>0.37189306439169473</v>
      </c>
      <c r="F40" s="117">
        <f t="shared" si="75"/>
        <v>0.3963452377748472</v>
      </c>
      <c r="G40" s="117">
        <f t="shared" si="75"/>
        <v>0.39848716218615721</v>
      </c>
      <c r="H40" s="117">
        <f t="shared" si="75"/>
        <v>0.45673219074917293</v>
      </c>
      <c r="I40" s="117">
        <f t="shared" si="75"/>
        <v>0.41081831425280868</v>
      </c>
      <c r="J40" s="117">
        <f t="shared" si="75"/>
        <v>0.4228252985404688</v>
      </c>
      <c r="K40" s="117">
        <f t="shared" si="75"/>
        <v>0.36958909093359027</v>
      </c>
      <c r="L40" s="298"/>
      <c r="N40" s="414"/>
      <c r="O40" s="414"/>
      <c r="P40" s="414"/>
      <c r="Q40" s="414"/>
      <c r="R40" s="414"/>
    </row>
    <row r="41" spans="1:18" ht="13" x14ac:dyDescent="0.3">
      <c r="A41" s="297" t="s">
        <v>311</v>
      </c>
      <c r="B41" s="295">
        <v>-64.319999999999993</v>
      </c>
      <c r="C41" s="296">
        <v>2447.08</v>
      </c>
      <c r="D41" s="295">
        <v>1437.37</v>
      </c>
      <c r="E41" s="295">
        <v>3137.27</v>
      </c>
      <c r="F41" s="295">
        <v>1710.3000000000002</v>
      </c>
      <c r="G41" s="295">
        <v>3281.71</v>
      </c>
      <c r="H41" s="295">
        <v>1843.8000000000002</v>
      </c>
      <c r="I41" s="295">
        <v>3424.85</v>
      </c>
      <c r="J41" s="295">
        <v>3067.92</v>
      </c>
      <c r="K41" s="295">
        <v>4145.21</v>
      </c>
      <c r="L41" s="214">
        <f>(K41/C41)^(1/8)-1</f>
        <v>6.8100937368447356E-2</v>
      </c>
      <c r="M41" s="23"/>
      <c r="N41" s="414"/>
      <c r="O41" s="414"/>
      <c r="P41" s="414"/>
      <c r="Q41" s="414"/>
      <c r="R41" s="414"/>
    </row>
    <row r="42" spans="1:18" ht="13" x14ac:dyDescent="0.3">
      <c r="A42" s="262" t="s">
        <v>313</v>
      </c>
      <c r="B42" s="111"/>
      <c r="C42" s="117">
        <f>C41/B41-1</f>
        <v>-39.045398009950254</v>
      </c>
      <c r="D42" s="117">
        <f t="shared" ref="D42" si="76">D41/C41-1</f>
        <v>-0.41261830426467461</v>
      </c>
      <c r="E42" s="117">
        <f t="shared" ref="E42" si="77">E41/D41-1</f>
        <v>1.1826460827761816</v>
      </c>
      <c r="F42" s="117">
        <f t="shared" ref="F42" si="78">F41/E41-1</f>
        <v>-0.45484449856085063</v>
      </c>
      <c r="G42" s="117">
        <f t="shared" ref="G42" si="79">G41/F41-1</f>
        <v>0.91879202479097222</v>
      </c>
      <c r="H42" s="117">
        <f t="shared" ref="H42" si="80">H41/G41-1</f>
        <v>-0.43815876479030746</v>
      </c>
      <c r="I42" s="117">
        <f t="shared" ref="I42" si="81">I41/H41-1</f>
        <v>0.85749538995552643</v>
      </c>
      <c r="J42" s="117">
        <f t="shared" ref="J42" si="82">J41/I41-1</f>
        <v>-0.10421770296509336</v>
      </c>
      <c r="K42" s="117">
        <f t="shared" ref="K42" si="83">K41/J41-1</f>
        <v>0.35114670525958958</v>
      </c>
      <c r="L42" s="298"/>
      <c r="N42" s="414"/>
      <c r="O42" s="414"/>
      <c r="P42" s="414"/>
      <c r="Q42" s="414"/>
      <c r="R42" s="414"/>
    </row>
    <row r="43" spans="1:18" ht="13" x14ac:dyDescent="0.3">
      <c r="A43" s="262" t="s">
        <v>314</v>
      </c>
      <c r="B43" s="117">
        <f>B41/(B$38+B$41+B$44)</f>
        <v>-6.2149130859091906E-2</v>
      </c>
      <c r="C43" s="117">
        <f t="shared" ref="C43:K43" si="84">C41/(C$38+C$41+C$44)</f>
        <v>0.48286354173860713</v>
      </c>
      <c r="D43" s="117">
        <f t="shared" si="84"/>
        <v>0.39934376675659078</v>
      </c>
      <c r="E43" s="117">
        <f t="shared" si="84"/>
        <v>0.58463313095624103</v>
      </c>
      <c r="F43" s="117">
        <f t="shared" si="84"/>
        <v>0.51143346700038572</v>
      </c>
      <c r="G43" s="117">
        <f t="shared" si="84"/>
        <v>0.55496255109167503</v>
      </c>
      <c r="H43" s="117">
        <f t="shared" si="84"/>
        <v>0.64137304897435266</v>
      </c>
      <c r="I43" s="117">
        <f t="shared" si="84"/>
        <v>0.52243518850439696</v>
      </c>
      <c r="J43" s="117">
        <f t="shared" si="84"/>
        <v>0.54275453339230428</v>
      </c>
      <c r="K43" s="117">
        <f t="shared" si="84"/>
        <v>0.55855201546888378</v>
      </c>
      <c r="L43" s="298"/>
      <c r="N43" s="414"/>
      <c r="O43" s="414"/>
      <c r="P43" s="414"/>
      <c r="Q43" s="414"/>
      <c r="R43" s="414"/>
    </row>
    <row r="44" spans="1:18" ht="13" x14ac:dyDescent="0.3">
      <c r="A44" s="297" t="s">
        <v>312</v>
      </c>
      <c r="B44" s="295">
        <v>115.14000000000001</v>
      </c>
      <c r="C44" s="296">
        <v>249.21000000000004</v>
      </c>
      <c r="D44" s="295">
        <v>119.37000000000002</v>
      </c>
      <c r="E44" s="295">
        <v>233.29000000000002</v>
      </c>
      <c r="F44" s="295">
        <v>308.39999999999998</v>
      </c>
      <c r="G44" s="295">
        <v>275.27</v>
      </c>
      <c r="H44" s="295">
        <v>-282.02999999999997</v>
      </c>
      <c r="I44" s="295">
        <v>437.56000000000006</v>
      </c>
      <c r="J44" s="295">
        <v>194.55999999999995</v>
      </c>
      <c r="K44" s="295">
        <v>533.29</v>
      </c>
      <c r="L44" s="214">
        <f>(K44/B44)^(1/9)-1</f>
        <v>0.18568902964793232</v>
      </c>
      <c r="M44" s="23"/>
      <c r="N44" s="414"/>
      <c r="O44" s="414"/>
      <c r="P44" s="414"/>
      <c r="Q44" s="414"/>
      <c r="R44" s="414"/>
    </row>
    <row r="45" spans="1:18" ht="13" x14ac:dyDescent="0.3">
      <c r="A45" s="262" t="s">
        <v>313</v>
      </c>
      <c r="B45" s="111"/>
      <c r="C45" s="117">
        <f>C44/B44-1</f>
        <v>1.1644085461177696</v>
      </c>
      <c r="D45" s="117">
        <f t="shared" ref="D45" si="85">D44/C44-1</f>
        <v>-0.52100638016130973</v>
      </c>
      <c r="E45" s="117">
        <f t="shared" ref="E45" si="86">E44/D44-1</f>
        <v>0.95434363742983996</v>
      </c>
      <c r="F45" s="117">
        <f t="shared" ref="F45" si="87">F44/E44-1</f>
        <v>0.32195979253289875</v>
      </c>
      <c r="G45" s="117">
        <f t="shared" ref="G45" si="88">G44/F44-1</f>
        <v>-0.10742542153047985</v>
      </c>
      <c r="H45" s="117">
        <f t="shared" ref="H45" si="89">H44/G44-1</f>
        <v>-2.0245577069786025</v>
      </c>
      <c r="I45" s="117">
        <f t="shared" ref="I45" si="90">I44/H44-1</f>
        <v>-2.5514661560826868</v>
      </c>
      <c r="J45" s="117">
        <f t="shared" ref="J45" si="91">J44/I44-1</f>
        <v>-0.55535240881250592</v>
      </c>
      <c r="K45" s="117">
        <f t="shared" ref="K45" si="92">K44/J44-1</f>
        <v>1.7410053453947376</v>
      </c>
      <c r="L45" s="298"/>
      <c r="N45" s="414"/>
      <c r="O45" s="414"/>
      <c r="P45" s="414"/>
      <c r="Q45" s="414"/>
      <c r="R45" s="414"/>
    </row>
    <row r="46" spans="1:18" ht="13.5" thickBot="1" x14ac:dyDescent="0.35">
      <c r="A46" s="264" t="s">
        <v>314</v>
      </c>
      <c r="B46" s="265">
        <f>B44/(B$38+B$41+B$44)</f>
        <v>0.11125390123003488</v>
      </c>
      <c r="C46" s="265">
        <f t="shared" ref="C46:K46" si="93">C44/(C$38+C$41+C$44)</f>
        <v>4.9174699330090679E-2</v>
      </c>
      <c r="D46" s="265">
        <f t="shared" si="93"/>
        <v>3.3164505616323045E-2</v>
      </c>
      <c r="E46" s="265">
        <f t="shared" si="93"/>
        <v>4.3473804652064213E-2</v>
      </c>
      <c r="F46" s="265">
        <f t="shared" si="93"/>
        <v>9.2221295224766964E-2</v>
      </c>
      <c r="G46" s="265">
        <f t="shared" si="93"/>
        <v>4.6550286722167829E-2</v>
      </c>
      <c r="H46" s="265">
        <f t="shared" si="93"/>
        <v>-9.8105239723525681E-2</v>
      </c>
      <c r="I46" s="265">
        <f t="shared" si="93"/>
        <v>6.6746497242794287E-2</v>
      </c>
      <c r="J46" s="265">
        <f t="shared" si="93"/>
        <v>3.4420168067226878E-2</v>
      </c>
      <c r="K46" s="265">
        <f t="shared" si="93"/>
        <v>7.1858893597526063E-2</v>
      </c>
      <c r="L46" s="299"/>
      <c r="N46" s="414"/>
      <c r="O46" s="414"/>
      <c r="P46" s="414"/>
      <c r="Q46" s="414"/>
      <c r="R46" s="414"/>
    </row>
    <row r="48" spans="1:18" ht="13.5" thickBot="1" x14ac:dyDescent="0.35">
      <c r="A48" s="20" t="s">
        <v>320</v>
      </c>
    </row>
    <row r="49" spans="1:11" ht="14.5" customHeight="1" x14ac:dyDescent="0.3">
      <c r="A49" s="350"/>
      <c r="B49" s="351" t="s">
        <v>323</v>
      </c>
      <c r="C49" s="351" t="s">
        <v>324</v>
      </c>
      <c r="D49" s="351" t="s">
        <v>325</v>
      </c>
      <c r="E49" s="353" t="s">
        <v>326</v>
      </c>
      <c r="G49" s="414" t="s">
        <v>331</v>
      </c>
      <c r="H49" s="414"/>
      <c r="I49" s="414"/>
      <c r="J49" s="414"/>
      <c r="K49" s="414"/>
    </row>
    <row r="50" spans="1:11" x14ac:dyDescent="0.25">
      <c r="A50" s="90" t="s">
        <v>17</v>
      </c>
      <c r="B50" s="15"/>
      <c r="C50" s="15"/>
      <c r="D50" s="15"/>
      <c r="E50" s="298"/>
      <c r="G50" s="414"/>
      <c r="H50" s="414"/>
      <c r="I50" s="414"/>
      <c r="J50" s="414"/>
      <c r="K50" s="414"/>
    </row>
    <row r="51" spans="1:11" ht="13" customHeight="1" x14ac:dyDescent="0.3">
      <c r="A51" s="262" t="s">
        <v>321</v>
      </c>
      <c r="B51" s="38">
        <v>0.11278097342318194</v>
      </c>
      <c r="C51" s="38">
        <v>7.5230674985166335E-2</v>
      </c>
      <c r="D51" s="38">
        <v>6.2807111898792511E-2</v>
      </c>
      <c r="E51" s="214">
        <v>5.3245790928803771E-2</v>
      </c>
      <c r="G51" s="414"/>
      <c r="H51" s="414"/>
      <c r="I51" s="414"/>
      <c r="J51" s="414"/>
      <c r="K51" s="414"/>
    </row>
    <row r="52" spans="1:11" ht="13" x14ac:dyDescent="0.3">
      <c r="A52" s="262" t="s">
        <v>322</v>
      </c>
      <c r="B52" s="117">
        <v>0.12897038122585824</v>
      </c>
      <c r="C52" s="117">
        <v>6.2807420321354002E-2</v>
      </c>
      <c r="D52" s="117">
        <v>4.6576412778089438E-2</v>
      </c>
      <c r="E52" s="302">
        <v>5.2006267677534135E-2</v>
      </c>
      <c r="G52" s="414"/>
      <c r="H52" s="414"/>
      <c r="I52" s="414"/>
      <c r="J52" s="414"/>
      <c r="K52" s="414"/>
    </row>
    <row r="53" spans="1:11" ht="13" x14ac:dyDescent="0.3">
      <c r="A53" s="262" t="s">
        <v>312</v>
      </c>
      <c r="B53" s="117">
        <v>0.17041608351903537</v>
      </c>
      <c r="C53" s="117">
        <v>0.13363594444997529</v>
      </c>
      <c r="D53" s="117">
        <v>0.16110391308861649</v>
      </c>
      <c r="E53" s="302">
        <v>0.14638781153614366</v>
      </c>
      <c r="G53" s="414"/>
      <c r="H53" s="414"/>
      <c r="I53" s="414"/>
      <c r="J53" s="414"/>
      <c r="K53" s="414"/>
    </row>
    <row r="54" spans="1:11" x14ac:dyDescent="0.25">
      <c r="A54" s="90" t="s">
        <v>180</v>
      </c>
      <c r="B54" s="15"/>
      <c r="C54" s="15"/>
      <c r="D54" s="15"/>
      <c r="E54" s="298"/>
      <c r="G54" s="414"/>
      <c r="H54" s="414"/>
      <c r="I54" s="414"/>
      <c r="J54" s="414"/>
      <c r="K54" s="414"/>
    </row>
    <row r="55" spans="1:11" ht="13" x14ac:dyDescent="0.3">
      <c r="A55" s="262" t="s">
        <v>321</v>
      </c>
      <c r="B55" s="38">
        <v>0.12745699197215377</v>
      </c>
      <c r="C55" s="38">
        <v>0.11782039126024801</v>
      </c>
      <c r="D55" s="38">
        <v>0.15701383508058342</v>
      </c>
      <c r="E55" s="214">
        <v>0.16357721179198714</v>
      </c>
      <c r="G55" s="414"/>
      <c r="H55" s="414"/>
      <c r="I55" s="414"/>
      <c r="J55" s="414"/>
      <c r="K55" s="414"/>
    </row>
    <row r="56" spans="1:11" ht="13" x14ac:dyDescent="0.3">
      <c r="A56" s="262" t="s">
        <v>322</v>
      </c>
      <c r="B56" s="117">
        <v>0.2476130766380864</v>
      </c>
      <c r="C56" s="117">
        <v>4.2313319107428748E-2</v>
      </c>
      <c r="D56" s="117">
        <v>6.9975507325390485E-2</v>
      </c>
      <c r="E56" s="302">
        <v>0.13675423375715412</v>
      </c>
      <c r="G56" s="414"/>
      <c r="H56" s="414"/>
      <c r="I56" s="414"/>
      <c r="J56" s="414"/>
      <c r="K56" s="414"/>
    </row>
    <row r="57" spans="1:11" ht="13" x14ac:dyDescent="0.3">
      <c r="A57" s="262" t="s">
        <v>312</v>
      </c>
      <c r="B57" s="117">
        <v>0.44953211706883534</v>
      </c>
      <c r="C57" s="117">
        <v>0.19800157041985744</v>
      </c>
      <c r="D57" s="117">
        <v>0.3996393804319609</v>
      </c>
      <c r="E57" s="302">
        <v>0.24422213576714702</v>
      </c>
      <c r="G57" s="414"/>
      <c r="H57" s="414"/>
      <c r="I57" s="414"/>
      <c r="J57" s="414"/>
      <c r="K57" s="414"/>
    </row>
    <row r="58" spans="1:11" x14ac:dyDescent="0.25">
      <c r="A58" s="90" t="s">
        <v>100</v>
      </c>
      <c r="B58" s="15"/>
      <c r="C58" s="15"/>
      <c r="D58" s="15"/>
      <c r="E58" s="298"/>
      <c r="G58" s="414"/>
      <c r="H58" s="414"/>
      <c r="I58" s="414"/>
      <c r="J58" s="414"/>
      <c r="K58" s="414"/>
    </row>
    <row r="59" spans="1:11" ht="13" x14ac:dyDescent="0.3">
      <c r="A59" s="262" t="s">
        <v>321</v>
      </c>
      <c r="B59" s="38">
        <v>0.13923806202811759</v>
      </c>
      <c r="C59" s="38">
        <v>0.13487175496816373</v>
      </c>
      <c r="D59" s="38">
        <v>0.14323936464189901</v>
      </c>
      <c r="E59" s="214">
        <v>0.16069436801056858</v>
      </c>
      <c r="G59" s="414"/>
      <c r="H59" s="414"/>
      <c r="I59" s="414"/>
      <c r="J59" s="414"/>
      <c r="K59" s="414"/>
    </row>
    <row r="60" spans="1:11" ht="13" x14ac:dyDescent="0.3">
      <c r="A60" s="262" t="s">
        <v>322</v>
      </c>
      <c r="B60" s="117">
        <v>0.21298769676372201</v>
      </c>
      <c r="C60" s="117">
        <v>0.22393210567630803</v>
      </c>
      <c r="D60" s="117">
        <v>0.23099938350304994</v>
      </c>
      <c r="E60" s="302">
        <v>0.24705937056756053</v>
      </c>
      <c r="G60" s="414"/>
      <c r="H60" s="414"/>
      <c r="I60" s="414"/>
      <c r="J60" s="414"/>
      <c r="K60" s="414"/>
    </row>
    <row r="61" spans="1:11" ht="13" x14ac:dyDescent="0.3">
      <c r="A61" s="262" t="s">
        <v>312</v>
      </c>
      <c r="B61" s="117">
        <v>3.9447913095680423E-2</v>
      </c>
      <c r="C61" s="117">
        <v>4.7013550977617675E-2</v>
      </c>
      <c r="D61" s="117">
        <v>5.2393053984233086E-2</v>
      </c>
      <c r="E61" s="302">
        <v>5.7428542985398852E-2</v>
      </c>
      <c r="G61" s="414"/>
      <c r="H61" s="414"/>
      <c r="I61" s="414"/>
      <c r="J61" s="414"/>
      <c r="K61" s="414"/>
    </row>
    <row r="62" spans="1:11" x14ac:dyDescent="0.25">
      <c r="A62" s="90" t="s">
        <v>18</v>
      </c>
      <c r="B62" s="15"/>
      <c r="C62" s="15"/>
      <c r="D62" s="15"/>
      <c r="E62" s="298"/>
      <c r="G62" s="414"/>
      <c r="H62" s="414"/>
      <c r="I62" s="414"/>
      <c r="J62" s="414"/>
      <c r="K62" s="414"/>
    </row>
    <row r="63" spans="1:11" ht="13" x14ac:dyDescent="0.3">
      <c r="A63" s="262" t="s">
        <v>321</v>
      </c>
      <c r="B63" s="305">
        <v>18.399470016357604</v>
      </c>
      <c r="C63" s="305">
        <v>18.835723496150131</v>
      </c>
      <c r="D63" s="305">
        <v>19.970553000183436</v>
      </c>
      <c r="E63" s="307">
        <v>19.365579544344353</v>
      </c>
      <c r="G63" s="414"/>
      <c r="H63" s="414"/>
      <c r="I63" s="414"/>
      <c r="J63" s="414"/>
      <c r="K63" s="414"/>
    </row>
    <row r="64" spans="1:11" ht="13" x14ac:dyDescent="0.3">
      <c r="A64" s="262" t="s">
        <v>322</v>
      </c>
      <c r="B64" s="306">
        <v>17.938263794907051</v>
      </c>
      <c r="C64" s="306">
        <v>18.650432838998988</v>
      </c>
      <c r="D64" s="306">
        <v>19.444546654444054</v>
      </c>
      <c r="E64" s="308">
        <v>19.151414878860649</v>
      </c>
      <c r="G64" s="414"/>
      <c r="H64" s="414"/>
      <c r="I64" s="414"/>
      <c r="J64" s="414"/>
      <c r="K64" s="414"/>
    </row>
    <row r="65" spans="1:17" ht="13.5" thickBot="1" x14ac:dyDescent="0.35">
      <c r="A65" s="264" t="s">
        <v>312</v>
      </c>
      <c r="B65" s="309">
        <v>24.942878644393723</v>
      </c>
      <c r="C65" s="309">
        <v>27.33208051733364</v>
      </c>
      <c r="D65" s="309">
        <v>33.769773140745016</v>
      </c>
      <c r="E65" s="310">
        <v>39.601385072891638</v>
      </c>
      <c r="G65" s="414"/>
      <c r="H65" s="414"/>
      <c r="I65" s="414"/>
      <c r="J65" s="414"/>
      <c r="K65" s="414"/>
    </row>
    <row r="67" spans="1:17" ht="13.5" thickBot="1" x14ac:dyDescent="0.35">
      <c r="A67" s="20" t="s">
        <v>327</v>
      </c>
    </row>
    <row r="68" spans="1:17" ht="13" x14ac:dyDescent="0.3">
      <c r="A68" s="350"/>
      <c r="B68" s="351" t="s">
        <v>301</v>
      </c>
      <c r="C68" s="351" t="s">
        <v>302</v>
      </c>
      <c r="D68" s="351" t="s">
        <v>303</v>
      </c>
      <c r="E68" s="351" t="s">
        <v>304</v>
      </c>
      <c r="F68" s="351" t="s">
        <v>305</v>
      </c>
      <c r="G68" s="351" t="s">
        <v>306</v>
      </c>
      <c r="H68" s="351" t="s">
        <v>307</v>
      </c>
      <c r="I68" s="351" t="s">
        <v>308</v>
      </c>
      <c r="J68" s="351" t="s">
        <v>309</v>
      </c>
      <c r="K68" s="353" t="s">
        <v>114</v>
      </c>
      <c r="M68" s="414" t="s">
        <v>333</v>
      </c>
      <c r="N68" s="414"/>
      <c r="O68" s="414"/>
      <c r="P68" s="414"/>
      <c r="Q68" s="414"/>
    </row>
    <row r="69" spans="1:17" ht="13" x14ac:dyDescent="0.3">
      <c r="A69" s="411" t="s">
        <v>280</v>
      </c>
      <c r="B69" s="412"/>
      <c r="C69" s="412"/>
      <c r="D69" s="412"/>
      <c r="E69" s="412"/>
      <c r="F69" s="412"/>
      <c r="G69" s="412"/>
      <c r="H69" s="412"/>
      <c r="I69" s="412"/>
      <c r="J69" s="412"/>
      <c r="K69" s="413"/>
      <c r="M69" s="414"/>
      <c r="N69" s="414"/>
      <c r="O69" s="414"/>
      <c r="P69" s="414"/>
      <c r="Q69" s="414"/>
    </row>
    <row r="70" spans="1:17" ht="13" customHeight="1" x14ac:dyDescent="0.3">
      <c r="A70" s="262" t="s">
        <v>321</v>
      </c>
      <c r="B70" s="38">
        <v>0.13672648695686057</v>
      </c>
      <c r="C70" s="38">
        <v>0.16892623386710909</v>
      </c>
      <c r="D70" s="38">
        <v>0.13056496234392032</v>
      </c>
      <c r="E70" s="38">
        <v>0.15347450679692926</v>
      </c>
      <c r="F70" s="38">
        <v>0.13818852235200876</v>
      </c>
      <c r="G70" s="38">
        <v>0.14005911660594247</v>
      </c>
      <c r="H70" s="38">
        <v>0.12278786165095162</v>
      </c>
      <c r="I70" s="38">
        <v>0.15662964486493902</v>
      </c>
      <c r="J70" s="38">
        <v>0.16262228749992122</v>
      </c>
      <c r="K70" s="214">
        <v>0.16382593004326035</v>
      </c>
      <c r="M70" s="414"/>
      <c r="N70" s="414"/>
      <c r="O70" s="414"/>
      <c r="P70" s="414"/>
      <c r="Q70" s="414"/>
    </row>
    <row r="71" spans="1:17" ht="13" x14ac:dyDescent="0.3">
      <c r="A71" s="262" t="s">
        <v>322</v>
      </c>
      <c r="B71" s="38">
        <v>7.5232979281390305E-2</v>
      </c>
      <c r="C71" s="38">
        <v>0.17038748488282249</v>
      </c>
      <c r="D71" s="38">
        <v>0.19123457233480365</v>
      </c>
      <c r="E71" s="38">
        <v>0.18532201391706407</v>
      </c>
      <c r="F71" s="38">
        <v>0.17890588709005464</v>
      </c>
      <c r="G71" s="38">
        <v>0.20290907611707149</v>
      </c>
      <c r="H71" s="38">
        <v>0.17914646203642329</v>
      </c>
      <c r="I71" s="38">
        <v>0.21122731611598419</v>
      </c>
      <c r="J71" s="38">
        <v>0.20220217322990938</v>
      </c>
      <c r="K71" s="214">
        <v>0.18894317963259974</v>
      </c>
      <c r="M71" s="414"/>
      <c r="N71" s="414"/>
      <c r="O71" s="414"/>
      <c r="P71" s="414"/>
      <c r="Q71" s="414"/>
    </row>
    <row r="72" spans="1:17" ht="13" x14ac:dyDescent="0.3">
      <c r="A72" s="262" t="s">
        <v>312</v>
      </c>
      <c r="B72" s="38">
        <v>3.2344007518694588E-2</v>
      </c>
      <c r="C72" s="38">
        <v>3.7784974479213147E-2</v>
      </c>
      <c r="D72" s="38">
        <v>6.3245663976895683E-2</v>
      </c>
      <c r="E72" s="38">
        <v>6.5724103552185081E-2</v>
      </c>
      <c r="F72" s="38">
        <v>5.6881821668933318E-2</v>
      </c>
      <c r="G72" s="38">
        <v>5.6454103344991305E-2</v>
      </c>
      <c r="H72" s="38">
        <v>6.0406300131543078E-2</v>
      </c>
      <c r="I72" s="38">
        <v>7.2930643531634545E-2</v>
      </c>
      <c r="J72" s="38">
        <v>7.0814837033417261E-2</v>
      </c>
      <c r="K72" s="214">
        <v>7.4635517255509987E-2</v>
      </c>
      <c r="M72" s="414"/>
      <c r="N72" s="414"/>
      <c r="O72" s="414"/>
      <c r="P72" s="414"/>
      <c r="Q72" s="414"/>
    </row>
    <row r="73" spans="1:17" ht="13" x14ac:dyDescent="0.3">
      <c r="A73" s="411" t="s">
        <v>100</v>
      </c>
      <c r="B73" s="412"/>
      <c r="C73" s="412"/>
      <c r="D73" s="412"/>
      <c r="E73" s="412"/>
      <c r="F73" s="412"/>
      <c r="G73" s="412"/>
      <c r="H73" s="412"/>
      <c r="I73" s="412"/>
      <c r="J73" s="412"/>
      <c r="K73" s="413"/>
      <c r="M73" s="414"/>
      <c r="N73" s="414"/>
      <c r="O73" s="414"/>
      <c r="P73" s="414"/>
      <c r="Q73" s="414"/>
    </row>
    <row r="74" spans="1:17" ht="13" x14ac:dyDescent="0.3">
      <c r="A74" s="262" t="s">
        <v>321</v>
      </c>
      <c r="B74" s="38">
        <v>0.14460935521368409</v>
      </c>
      <c r="C74" s="38">
        <v>0.17969905154021601</v>
      </c>
      <c r="D74" s="38">
        <v>0.12396992875012963</v>
      </c>
      <c r="E74" s="38">
        <v>0.12149397155014431</v>
      </c>
      <c r="F74" s="38">
        <v>0.1064114900175068</v>
      </c>
      <c r="G74" s="38">
        <v>0.11344002703016012</v>
      </c>
      <c r="H74" s="38">
        <v>0.12067369214762919</v>
      </c>
      <c r="I74" s="38">
        <v>0.1559229609003365</v>
      </c>
      <c r="J74" s="38">
        <v>0.16345209866788135</v>
      </c>
      <c r="K74" s="214">
        <v>0.16270804446348788</v>
      </c>
      <c r="M74" s="414"/>
      <c r="N74" s="414"/>
      <c r="O74" s="414"/>
      <c r="P74" s="414"/>
      <c r="Q74" s="414"/>
    </row>
    <row r="75" spans="1:17" ht="13" x14ac:dyDescent="0.3">
      <c r="A75" s="262" t="s">
        <v>322</v>
      </c>
      <c r="B75" s="38">
        <v>9.5536009225636292E-2</v>
      </c>
      <c r="C75" s="38">
        <v>0.19770149595084893</v>
      </c>
      <c r="D75" s="38">
        <v>0.26911472272657821</v>
      </c>
      <c r="E75" s="38">
        <v>0.20228123492892189</v>
      </c>
      <c r="F75" s="38">
        <v>0.21024658728998491</v>
      </c>
      <c r="G75" s="38">
        <v>0.22769639686699622</v>
      </c>
      <c r="H75" s="38">
        <v>0.18612240894557172</v>
      </c>
      <c r="I75" s="38">
        <v>0.25067473873797291</v>
      </c>
      <c r="J75" s="38">
        <v>0.2556788632901299</v>
      </c>
      <c r="K75" s="214">
        <v>0.2348245096745788</v>
      </c>
    </row>
    <row r="76" spans="1:17" ht="13" x14ac:dyDescent="0.3">
      <c r="A76" s="262" t="s">
        <v>312</v>
      </c>
      <c r="B76" s="38">
        <v>8.4721522263236145E-3</v>
      </c>
      <c r="C76" s="38">
        <v>1.745773083878235E-2</v>
      </c>
      <c r="D76" s="38">
        <v>3.9454391048374469E-2</v>
      </c>
      <c r="E76" s="38">
        <v>4.4312695336567107E-2</v>
      </c>
      <c r="F76" s="38">
        <v>2.2816891585591269E-2</v>
      </c>
      <c r="G76" s="38">
        <v>4.4255919577601652E-2</v>
      </c>
      <c r="H76" s="38">
        <v>4.5423721387367166E-2</v>
      </c>
      <c r="I76" s="38">
        <v>5.6637483723049671E-2</v>
      </c>
      <c r="J76" s="38">
        <v>5.757413696065438E-2</v>
      </c>
      <c r="K76" s="214">
        <v>5.8074008272492511E-2</v>
      </c>
    </row>
    <row r="77" spans="1:17" ht="13" x14ac:dyDescent="0.3">
      <c r="A77" s="411" t="s">
        <v>282</v>
      </c>
      <c r="B77" s="412"/>
      <c r="C77" s="412"/>
      <c r="D77" s="412"/>
      <c r="E77" s="412"/>
      <c r="F77" s="412"/>
      <c r="G77" s="412"/>
      <c r="H77" s="412"/>
      <c r="I77" s="412"/>
      <c r="J77" s="412"/>
      <c r="K77" s="413"/>
    </row>
    <row r="78" spans="1:17" ht="13" x14ac:dyDescent="0.3">
      <c r="A78" s="262" t="s">
        <v>321</v>
      </c>
      <c r="B78" s="38">
        <v>0.10404639292416992</v>
      </c>
      <c r="C78" s="38">
        <v>0.14162993442136093</v>
      </c>
      <c r="D78" s="38">
        <v>9.9386893343774402E-2</v>
      </c>
      <c r="E78" s="38">
        <v>0.10085783851159269</v>
      </c>
      <c r="F78" s="38">
        <v>8.9117729596505713E-2</v>
      </c>
      <c r="G78" s="38">
        <v>8.3443750007418313E-2</v>
      </c>
      <c r="H78" s="38">
        <v>8.6482293105385674E-2</v>
      </c>
      <c r="I78" s="38">
        <v>0.11110724368642923</v>
      </c>
      <c r="J78" s="38">
        <v>0.11849352606940398</v>
      </c>
      <c r="K78" s="214">
        <v>0.11471622057250763</v>
      </c>
    </row>
    <row r="79" spans="1:17" ht="13" x14ac:dyDescent="0.3">
      <c r="A79" s="262" t="s">
        <v>322</v>
      </c>
      <c r="B79" s="38">
        <v>6.1676314197321218E-2</v>
      </c>
      <c r="C79" s="38">
        <v>0.13698761864168923</v>
      </c>
      <c r="D79" s="38">
        <v>0.20786422132936144</v>
      </c>
      <c r="E79" s="38">
        <v>0.1502435613802747</v>
      </c>
      <c r="F79" s="38">
        <v>0.14894928098457311</v>
      </c>
      <c r="G79" s="38">
        <v>0.1572305984287358</v>
      </c>
      <c r="H79" s="38">
        <v>0.12731635165101585</v>
      </c>
      <c r="I79" s="38">
        <v>0.17905458654099879</v>
      </c>
      <c r="J79" s="38">
        <v>0.18639544478073847</v>
      </c>
      <c r="K79" s="214">
        <v>0.16669514546440048</v>
      </c>
    </row>
    <row r="80" spans="1:17" ht="13" x14ac:dyDescent="0.3">
      <c r="A80" s="262" t="s">
        <v>312</v>
      </c>
      <c r="B80" s="38">
        <v>8.4667038969176173E-3</v>
      </c>
      <c r="C80" s="38">
        <v>2.0171391507433842E-2</v>
      </c>
      <c r="D80" s="38">
        <v>3.0944558064382687E-2</v>
      </c>
      <c r="E80" s="38">
        <v>3.4876328848760588E-2</v>
      </c>
      <c r="F80" s="38">
        <v>1.6183003800955498E-2</v>
      </c>
      <c r="G80" s="38">
        <v>3.284358154844251E-2</v>
      </c>
      <c r="H80" s="38">
        <v>3.4636384185741644E-2</v>
      </c>
      <c r="I80" s="38">
        <v>4.4060781689849199E-2</v>
      </c>
      <c r="J80" s="38">
        <v>4.5988112376197945E-2</v>
      </c>
      <c r="K80" s="214">
        <v>4.3794110376571514E-2</v>
      </c>
    </row>
    <row r="81" spans="1:11" ht="13" x14ac:dyDescent="0.3">
      <c r="A81" s="411" t="s">
        <v>41</v>
      </c>
      <c r="B81" s="412"/>
      <c r="C81" s="412"/>
      <c r="D81" s="412"/>
      <c r="E81" s="412"/>
      <c r="F81" s="412"/>
      <c r="G81" s="412"/>
      <c r="H81" s="412"/>
      <c r="I81" s="412"/>
      <c r="J81" s="412"/>
      <c r="K81" s="413"/>
    </row>
    <row r="82" spans="1:11" ht="13" x14ac:dyDescent="0.3">
      <c r="A82" s="262" t="s">
        <v>321</v>
      </c>
      <c r="B82" s="30">
        <v>4.4425332328932585</v>
      </c>
      <c r="C82" s="30">
        <v>2.5105913246326668</v>
      </c>
      <c r="D82" s="30">
        <v>2.4572389940576134</v>
      </c>
      <c r="E82" s="30">
        <v>4.2153197141697518</v>
      </c>
      <c r="F82" s="30">
        <v>10.212212918906888</v>
      </c>
      <c r="G82" s="30">
        <v>13.293984246385923</v>
      </c>
      <c r="H82" s="30">
        <v>18.386617147538722</v>
      </c>
      <c r="I82" s="30">
        <v>16.461939267369129</v>
      </c>
      <c r="J82" s="30">
        <v>20.002573642671031</v>
      </c>
      <c r="K82" s="311">
        <v>17.215552726626246</v>
      </c>
    </row>
    <row r="83" spans="1:11" ht="13" x14ac:dyDescent="0.3">
      <c r="A83" s="262" t="s">
        <v>322</v>
      </c>
      <c r="B83" s="30">
        <v>12.140982212945017</v>
      </c>
      <c r="C83" s="30">
        <v>7.5421115188561894</v>
      </c>
      <c r="D83" s="30">
        <v>7.525681580659672</v>
      </c>
      <c r="E83" s="30">
        <v>7.4869645541002257</v>
      </c>
      <c r="F83" s="30">
        <v>13.373444952322599</v>
      </c>
      <c r="G83" s="30">
        <v>14.416731280282205</v>
      </c>
      <c r="H83" s="30">
        <v>12.107297632536284</v>
      </c>
      <c r="I83" s="30">
        <v>11.601807184108042</v>
      </c>
      <c r="J83" s="30">
        <v>15.985481019613463</v>
      </c>
      <c r="K83" s="311">
        <v>21.638556768708188</v>
      </c>
    </row>
    <row r="84" spans="1:11" ht="13" x14ac:dyDescent="0.3">
      <c r="A84" s="262" t="s">
        <v>312</v>
      </c>
      <c r="B84" s="30">
        <v>18.052876036885191</v>
      </c>
      <c r="C84" s="30">
        <v>18.470391532645294</v>
      </c>
      <c r="D84" s="30">
        <v>15.708649145517983</v>
      </c>
      <c r="E84" s="30">
        <v>10.632834466612149</v>
      </c>
      <c r="F84" s="30">
        <v>16.131429368483452</v>
      </c>
      <c r="G84" s="30">
        <v>15.309404790897247</v>
      </c>
      <c r="H84" s="30">
        <v>18.31336950687739</v>
      </c>
      <c r="I84" s="30">
        <v>18.999316503161733</v>
      </c>
      <c r="J84" s="30">
        <v>21.769204907002788</v>
      </c>
      <c r="K84" s="311">
        <v>23.361731195545705</v>
      </c>
    </row>
    <row r="85" spans="1:11" ht="13" x14ac:dyDescent="0.3">
      <c r="A85" s="411" t="s">
        <v>42</v>
      </c>
      <c r="B85" s="412"/>
      <c r="C85" s="412"/>
      <c r="D85" s="412"/>
      <c r="E85" s="412"/>
      <c r="F85" s="412"/>
      <c r="G85" s="412"/>
      <c r="H85" s="412"/>
      <c r="I85" s="412"/>
      <c r="J85" s="412"/>
      <c r="K85" s="413"/>
    </row>
    <row r="86" spans="1:11" ht="13" x14ac:dyDescent="0.3">
      <c r="A86" s="262" t="s">
        <v>321</v>
      </c>
      <c r="B86" s="30">
        <v>37.692745464002698</v>
      </c>
      <c r="C86" s="30">
        <v>36.10948670944088</v>
      </c>
      <c r="D86" s="30">
        <v>36.953365210599515</v>
      </c>
      <c r="E86" s="30">
        <v>34.902423138978932</v>
      </c>
      <c r="F86" s="30">
        <v>37.326637979772599</v>
      </c>
      <c r="G86" s="30">
        <v>37.749936524531407</v>
      </c>
      <c r="H86" s="30">
        <v>33.826656366111173</v>
      </c>
      <c r="I86" s="30">
        <v>42.263811703170973</v>
      </c>
      <c r="J86" s="30">
        <v>43.425302067620486</v>
      </c>
      <c r="K86" s="311">
        <v>39.134619587653901</v>
      </c>
    </row>
    <row r="87" spans="1:11" ht="13" x14ac:dyDescent="0.3">
      <c r="A87" s="262" t="s">
        <v>322</v>
      </c>
      <c r="B87" s="30">
        <v>22.719039165052724</v>
      </c>
      <c r="C87" s="30">
        <v>25.181962957307096</v>
      </c>
      <c r="D87" s="30">
        <v>28.510351409978309</v>
      </c>
      <c r="E87" s="30">
        <v>27.848737226588593</v>
      </c>
      <c r="F87" s="30">
        <v>31.123035592272814</v>
      </c>
      <c r="G87" s="30">
        <v>31.437890862587921</v>
      </c>
      <c r="H87" s="30">
        <v>26.548265061720816</v>
      </c>
      <c r="I87" s="30">
        <v>31.410738871041762</v>
      </c>
      <c r="J87" s="30">
        <v>29.883687086410941</v>
      </c>
      <c r="K87" s="311">
        <v>33.888496862290928</v>
      </c>
    </row>
    <row r="88" spans="1:11" ht="13" x14ac:dyDescent="0.3">
      <c r="A88" s="262" t="s">
        <v>312</v>
      </c>
      <c r="B88" s="30">
        <v>11.451723600062392</v>
      </c>
      <c r="C88" s="30">
        <v>15.059227556690709</v>
      </c>
      <c r="D88" s="30">
        <v>11.910933474768907</v>
      </c>
      <c r="E88" s="30">
        <v>12.216915286711375</v>
      </c>
      <c r="F88" s="30">
        <v>14.06673076168426</v>
      </c>
      <c r="G88" s="30">
        <v>14.532409012131716</v>
      </c>
      <c r="H88" s="30">
        <v>12.251524985360142</v>
      </c>
      <c r="I88" s="30">
        <v>15.947409992388666</v>
      </c>
      <c r="J88" s="30">
        <v>12.550090490718237</v>
      </c>
      <c r="K88" s="311">
        <v>15.688321114901647</v>
      </c>
    </row>
    <row r="89" spans="1:11" ht="13" x14ac:dyDescent="0.3">
      <c r="A89" s="411" t="s">
        <v>97</v>
      </c>
      <c r="B89" s="412"/>
      <c r="C89" s="412"/>
      <c r="D89" s="412"/>
      <c r="E89" s="412"/>
      <c r="F89" s="412"/>
      <c r="G89" s="412"/>
      <c r="H89" s="412"/>
      <c r="I89" s="412"/>
      <c r="J89" s="412"/>
      <c r="K89" s="413"/>
    </row>
    <row r="90" spans="1:11" ht="13" x14ac:dyDescent="0.3">
      <c r="A90" s="262" t="s">
        <v>321</v>
      </c>
      <c r="B90" s="305">
        <v>7.8280750583017209</v>
      </c>
      <c r="C90" s="305">
        <v>9.4998613438792372</v>
      </c>
      <c r="D90" s="305">
        <v>4.7540683482506099</v>
      </c>
      <c r="E90" s="305">
        <v>6.2287591368137969</v>
      </c>
      <c r="F90" s="305">
        <v>7.7395847579599995</v>
      </c>
      <c r="G90" s="305">
        <v>11.267344254987185</v>
      </c>
      <c r="H90" s="305">
        <v>9.4707298064675598</v>
      </c>
      <c r="I90" s="305">
        <v>7.9352462789627136</v>
      </c>
      <c r="J90" s="305">
        <v>6.4838758846935223</v>
      </c>
      <c r="K90" s="307">
        <v>6.9245274506181067</v>
      </c>
    </row>
    <row r="91" spans="1:11" ht="13" x14ac:dyDescent="0.3">
      <c r="A91" s="262" t="s">
        <v>322</v>
      </c>
      <c r="B91" s="305">
        <v>4.4136631811079585</v>
      </c>
      <c r="C91" s="305">
        <v>6.3692373905414579</v>
      </c>
      <c r="D91" s="305">
        <v>8.855649764716663</v>
      </c>
      <c r="E91" s="305">
        <v>10.20538741582163</v>
      </c>
      <c r="F91" s="305">
        <v>8.5089177680318944</v>
      </c>
      <c r="G91" s="305">
        <v>7.579387280889752</v>
      </c>
      <c r="H91" s="305">
        <v>8.8292504585319627</v>
      </c>
      <c r="I91" s="305">
        <v>11.150147852315531</v>
      </c>
      <c r="J91" s="305">
        <v>10.873608120731944</v>
      </c>
      <c r="K91" s="307">
        <v>13.397496712505257</v>
      </c>
    </row>
    <row r="92" spans="1:11" ht="13" x14ac:dyDescent="0.3">
      <c r="A92" s="262" t="s">
        <v>312</v>
      </c>
      <c r="B92" s="305">
        <v>3.6858144064903504</v>
      </c>
      <c r="C92" s="305">
        <v>4.5652119322402767</v>
      </c>
      <c r="D92" s="305">
        <v>6.7065775018931522</v>
      </c>
      <c r="E92" s="305">
        <v>6.9634642198972285</v>
      </c>
      <c r="F92" s="305">
        <v>7.0878811246885753</v>
      </c>
      <c r="G92" s="305">
        <v>7.076369580087233</v>
      </c>
      <c r="H92" s="305">
        <v>7.5527251942269649</v>
      </c>
      <c r="I92" s="305">
        <v>6.4577370187079479</v>
      </c>
      <c r="J92" s="305">
        <v>6.1169885123521199</v>
      </c>
      <c r="K92" s="307">
        <v>6.3787897313090518</v>
      </c>
    </row>
    <row r="93" spans="1:11" ht="13" x14ac:dyDescent="0.3">
      <c r="A93" s="411" t="s">
        <v>98</v>
      </c>
      <c r="B93" s="412"/>
      <c r="C93" s="412"/>
      <c r="D93" s="412"/>
      <c r="E93" s="412"/>
      <c r="F93" s="412"/>
      <c r="G93" s="412"/>
      <c r="H93" s="412"/>
      <c r="I93" s="412"/>
      <c r="J93" s="412"/>
      <c r="K93" s="413"/>
    </row>
    <row r="94" spans="1:11" ht="13" x14ac:dyDescent="0.3">
      <c r="A94" s="262" t="s">
        <v>321</v>
      </c>
      <c r="B94" s="305">
        <v>2.0651187265671247E-2</v>
      </c>
      <c r="C94" s="305">
        <v>1.9056167063970772E-2</v>
      </c>
      <c r="D94" s="305">
        <v>0.2345520726913527</v>
      </c>
      <c r="E94" s="305">
        <v>0.16770827748418937</v>
      </c>
      <c r="F94" s="305">
        <v>0.12815606123557802</v>
      </c>
      <c r="G94" s="305">
        <v>5.0761892686794513E-2</v>
      </c>
      <c r="H94" s="305">
        <v>0</v>
      </c>
      <c r="I94" s="305">
        <v>0</v>
      </c>
      <c r="J94" s="305">
        <v>0</v>
      </c>
      <c r="K94" s="307">
        <v>0</v>
      </c>
    </row>
    <row r="95" spans="1:11" ht="13" x14ac:dyDescent="0.3">
      <c r="A95" s="262" t="s">
        <v>322</v>
      </c>
      <c r="B95" s="305">
        <v>0.88005781143982476</v>
      </c>
      <c r="C95" s="305">
        <v>0.50094408026706616</v>
      </c>
      <c r="D95" s="305">
        <v>7.2274620258694217E-2</v>
      </c>
      <c r="E95" s="305">
        <v>2.4741356063745123E-2</v>
      </c>
      <c r="F95" s="305">
        <v>1.4330527072768526E-2</v>
      </c>
      <c r="G95" s="305">
        <v>5.8216274591187788E-3</v>
      </c>
      <c r="H95" s="305">
        <v>1.0125890916170058E-2</v>
      </c>
      <c r="I95" s="305">
        <v>8.4063761785581059E-3</v>
      </c>
      <c r="J95" s="305">
        <v>6.7146154048621882E-3</v>
      </c>
      <c r="K95" s="307">
        <v>5.9127824201820889E-3</v>
      </c>
    </row>
    <row r="96" spans="1:11" ht="13" x14ac:dyDescent="0.3">
      <c r="A96" s="262" t="s">
        <v>312</v>
      </c>
      <c r="B96" s="305">
        <v>1.1182729337414832</v>
      </c>
      <c r="C96" s="305">
        <v>1.1594707038021497</v>
      </c>
      <c r="D96" s="305">
        <v>0.76827328123592931</v>
      </c>
      <c r="E96" s="305">
        <v>0.71059449199278368</v>
      </c>
      <c r="F96" s="305">
        <v>0.51809058766851479</v>
      </c>
      <c r="G96" s="305">
        <v>0.37279548923181283</v>
      </c>
      <c r="H96" s="305">
        <v>0.58982228813147275</v>
      </c>
      <c r="I96" s="305">
        <v>0.47202732926866631</v>
      </c>
      <c r="J96" s="305">
        <v>0.45973766053655435</v>
      </c>
      <c r="K96" s="307">
        <v>0.41285298671721488</v>
      </c>
    </row>
    <row r="97" spans="1:17" ht="13" x14ac:dyDescent="0.3">
      <c r="A97" s="411" t="s">
        <v>55</v>
      </c>
      <c r="B97" s="412"/>
      <c r="C97" s="412"/>
      <c r="D97" s="412"/>
      <c r="E97" s="412"/>
      <c r="F97" s="412"/>
      <c r="G97" s="412"/>
      <c r="H97" s="412"/>
      <c r="I97" s="412"/>
      <c r="J97" s="412"/>
      <c r="K97" s="413"/>
    </row>
    <row r="98" spans="1:17" ht="13" x14ac:dyDescent="0.3">
      <c r="A98" s="262" t="s">
        <v>321</v>
      </c>
      <c r="B98" s="38">
        <v>0.33723870288758806</v>
      </c>
      <c r="C98" s="38">
        <v>0.64410306434017739</v>
      </c>
      <c r="D98" s="38">
        <v>0.65218567958701856</v>
      </c>
      <c r="E98" s="38">
        <v>0.55436462517162666</v>
      </c>
      <c r="F98" s="38">
        <v>0.42310396625012059</v>
      </c>
      <c r="G98" s="38">
        <v>0.37663017177184493</v>
      </c>
      <c r="H98" s="38">
        <v>0.36470259106328456</v>
      </c>
      <c r="I98" s="38">
        <v>0.35771375790799842</v>
      </c>
      <c r="J98" s="38">
        <v>0.33399496997910305</v>
      </c>
      <c r="K98" s="214">
        <v>0.31416413456505643</v>
      </c>
    </row>
    <row r="99" spans="1:17" ht="13" x14ac:dyDescent="0.3">
      <c r="A99" s="262" t="s">
        <v>322</v>
      </c>
      <c r="B99" s="38">
        <v>0.28735816062533498</v>
      </c>
      <c r="C99" s="38">
        <v>0.58200616136595407</v>
      </c>
      <c r="D99" s="38">
        <v>0.7103939491015594</v>
      </c>
      <c r="E99" s="38">
        <v>0.4840686516314463</v>
      </c>
      <c r="F99" s="38">
        <v>0.37013378299629335</v>
      </c>
      <c r="G99" s="38">
        <v>0.31173590524880851</v>
      </c>
      <c r="H99" s="38">
        <v>0.24801898458088653</v>
      </c>
      <c r="I99" s="38">
        <v>0.28845439223526437</v>
      </c>
      <c r="J99" s="38">
        <v>0.22721104893044994</v>
      </c>
      <c r="K99" s="214">
        <v>0.20537677892646555</v>
      </c>
    </row>
    <row r="100" spans="1:17" ht="13" x14ac:dyDescent="0.3">
      <c r="A100" s="262" t="s">
        <v>312</v>
      </c>
      <c r="B100" s="38">
        <v>3.8362792534807989E-2</v>
      </c>
      <c r="C100" s="38">
        <v>0.10171038946030241</v>
      </c>
      <c r="D100" s="38">
        <v>0.19469486997328389</v>
      </c>
      <c r="E100" s="38">
        <v>0.21295860871944453</v>
      </c>
      <c r="F100" s="38">
        <v>9.4735724725844683E-2</v>
      </c>
      <c r="G100" s="38">
        <v>0.18486094624385288</v>
      </c>
      <c r="H100" s="38">
        <v>0.21140054456167581</v>
      </c>
      <c r="I100" s="38">
        <v>0.24984425584934219</v>
      </c>
      <c r="J100" s="38">
        <v>0.23172904045541873</v>
      </c>
      <c r="K100" s="214">
        <v>0.23003242582678879</v>
      </c>
    </row>
    <row r="101" spans="1:17" ht="13" x14ac:dyDescent="0.3">
      <c r="A101" s="411" t="s">
        <v>96</v>
      </c>
      <c r="B101" s="412"/>
      <c r="C101" s="412"/>
      <c r="D101" s="412"/>
      <c r="E101" s="412"/>
      <c r="F101" s="412"/>
      <c r="G101" s="412"/>
      <c r="H101" s="412"/>
      <c r="I101" s="412"/>
      <c r="J101" s="412"/>
      <c r="K101" s="413"/>
    </row>
    <row r="102" spans="1:17" ht="13" x14ac:dyDescent="0.3">
      <c r="A102" s="262" t="s">
        <v>321</v>
      </c>
      <c r="B102" s="38">
        <v>0.45988131695899204</v>
      </c>
      <c r="C102" s="38">
        <v>0.80254598490534013</v>
      </c>
      <c r="D102" s="38">
        <v>0.66310170685124503</v>
      </c>
      <c r="E102" s="38">
        <v>0.57613384784609312</v>
      </c>
      <c r="F102" s="38">
        <v>0.44992758267791882</v>
      </c>
      <c r="G102" s="38">
        <v>0.48929408425714616</v>
      </c>
      <c r="H102" s="38">
        <v>0.51058576772613451</v>
      </c>
      <c r="I102" s="38">
        <v>0.50255308503906893</v>
      </c>
      <c r="J102" s="38">
        <v>0.46131700307280332</v>
      </c>
      <c r="K102" s="214">
        <v>0.44612656429498826</v>
      </c>
    </row>
    <row r="103" spans="1:17" ht="13" x14ac:dyDescent="0.3">
      <c r="A103" s="262" t="s">
        <v>322</v>
      </c>
      <c r="B103" s="38">
        <v>0.24317885069612577</v>
      </c>
      <c r="C103" s="38">
        <v>0.5612732837006742</v>
      </c>
      <c r="D103" s="38">
        <v>0.85819433289489488</v>
      </c>
      <c r="E103" s="38">
        <v>0.63964994648751072</v>
      </c>
      <c r="F103" s="38">
        <v>0.5152196340735965</v>
      </c>
      <c r="G103" s="38">
        <v>0.44891335703005447</v>
      </c>
      <c r="H103" s="38">
        <v>0.35952075676746387</v>
      </c>
      <c r="I103" s="38">
        <v>0.40054122987628521</v>
      </c>
      <c r="J103" s="38">
        <v>0.30966480070892693</v>
      </c>
      <c r="K103" s="214">
        <v>0.28767872691583435</v>
      </c>
    </row>
    <row r="104" spans="1:17" ht="13.5" thickBot="1" x14ac:dyDescent="0.35">
      <c r="A104" s="264" t="s">
        <v>312</v>
      </c>
      <c r="B104" s="221">
        <v>5.5770508233594022E-2</v>
      </c>
      <c r="C104" s="221">
        <v>8.1093230724770912E-2</v>
      </c>
      <c r="D104" s="221">
        <v>0.18131199674066173</v>
      </c>
      <c r="E104" s="221">
        <v>0.18671338458308798</v>
      </c>
      <c r="F104" s="221">
        <v>0.11382559865745831</v>
      </c>
      <c r="G104" s="221">
        <v>0.19452465142133629</v>
      </c>
      <c r="H104" s="221">
        <v>0.18486675357343516</v>
      </c>
      <c r="I104" s="221">
        <v>0.23507924779635997</v>
      </c>
      <c r="J104" s="221">
        <v>0.21124268602458196</v>
      </c>
      <c r="K104" s="222">
        <v>0.22981563343907624</v>
      </c>
    </row>
    <row r="105" spans="1:17" x14ac:dyDescent="0.25">
      <c r="B105" s="23"/>
      <c r="C105" s="23"/>
      <c r="D105" s="23"/>
      <c r="E105" s="23"/>
      <c r="F105" s="23"/>
      <c r="G105" s="23"/>
      <c r="H105" s="23"/>
      <c r="I105" s="23"/>
      <c r="J105" s="23"/>
      <c r="K105" s="23"/>
    </row>
    <row r="106" spans="1:17" ht="13.5" thickBot="1" x14ac:dyDescent="0.35">
      <c r="A106" s="20" t="s">
        <v>349</v>
      </c>
    </row>
    <row r="107" spans="1:17" ht="13" x14ac:dyDescent="0.3">
      <c r="A107" s="355"/>
      <c r="B107" s="406" t="s">
        <v>310</v>
      </c>
      <c r="C107" s="407"/>
      <c r="D107" s="407"/>
      <c r="E107" s="407"/>
      <c r="F107" s="408"/>
      <c r="G107" s="409" t="s">
        <v>311</v>
      </c>
      <c r="H107" s="407"/>
      <c r="I107" s="407"/>
      <c r="J107" s="407"/>
      <c r="K107" s="410"/>
      <c r="L107" s="406" t="s">
        <v>335</v>
      </c>
      <c r="M107" s="407"/>
      <c r="N107" s="407"/>
      <c r="O107" s="407"/>
      <c r="P107" s="410"/>
    </row>
    <row r="108" spans="1:17" ht="13" x14ac:dyDescent="0.3">
      <c r="A108" s="356" t="s">
        <v>179</v>
      </c>
      <c r="B108" s="324" t="s">
        <v>306</v>
      </c>
      <c r="C108" s="33" t="s">
        <v>307</v>
      </c>
      <c r="D108" s="33" t="s">
        <v>308</v>
      </c>
      <c r="E108" s="33" t="s">
        <v>309</v>
      </c>
      <c r="F108" s="321" t="s">
        <v>114</v>
      </c>
      <c r="G108" s="314" t="s">
        <v>306</v>
      </c>
      <c r="H108" s="33" t="s">
        <v>307</v>
      </c>
      <c r="I108" s="33" t="s">
        <v>308</v>
      </c>
      <c r="J108" s="33" t="s">
        <v>309</v>
      </c>
      <c r="K108" s="315" t="s">
        <v>114</v>
      </c>
      <c r="L108" s="324" t="s">
        <v>306</v>
      </c>
      <c r="M108" s="33" t="s">
        <v>307</v>
      </c>
      <c r="N108" s="33" t="s">
        <v>308</v>
      </c>
      <c r="O108" s="33" t="s">
        <v>309</v>
      </c>
      <c r="P108" s="315" t="s">
        <v>114</v>
      </c>
      <c r="Q108" s="20" t="s">
        <v>342</v>
      </c>
    </row>
    <row r="109" spans="1:17" x14ac:dyDescent="0.25">
      <c r="A109" s="333" t="s">
        <v>4</v>
      </c>
      <c r="B109" s="325">
        <v>1</v>
      </c>
      <c r="C109" s="313">
        <v>1</v>
      </c>
      <c r="D109" s="313">
        <v>1</v>
      </c>
      <c r="E109" s="313">
        <v>1</v>
      </c>
      <c r="F109" s="322">
        <v>1</v>
      </c>
      <c r="G109" s="328">
        <v>1</v>
      </c>
      <c r="H109" s="327">
        <v>1</v>
      </c>
      <c r="I109" s="327">
        <v>1</v>
      </c>
      <c r="J109" s="327">
        <v>1</v>
      </c>
      <c r="K109" s="329">
        <v>1</v>
      </c>
      <c r="L109" s="325">
        <v>1</v>
      </c>
      <c r="M109" s="313">
        <v>1</v>
      </c>
      <c r="N109" s="313">
        <v>1</v>
      </c>
      <c r="O109" s="313">
        <v>1</v>
      </c>
      <c r="P109" s="317">
        <v>1</v>
      </c>
    </row>
    <row r="110" spans="1:17" x14ac:dyDescent="0.25">
      <c r="A110" s="333" t="s">
        <v>74</v>
      </c>
      <c r="B110" s="325">
        <v>0.72091755365973409</v>
      </c>
      <c r="C110" s="313">
        <v>0.71718922759585724</v>
      </c>
      <c r="D110" s="313">
        <v>0.67932088022585757</v>
      </c>
      <c r="E110" s="313">
        <v>0.66574750021578599</v>
      </c>
      <c r="F110" s="322">
        <v>0.67817119752135324</v>
      </c>
      <c r="G110" s="328">
        <v>0.6893342639678266</v>
      </c>
      <c r="H110" s="327">
        <v>0.68972442742688045</v>
      </c>
      <c r="I110" s="327">
        <v>0.66382116412798431</v>
      </c>
      <c r="J110" s="327">
        <v>0.67386620283846688</v>
      </c>
      <c r="K110" s="329">
        <v>0.69145500959271877</v>
      </c>
      <c r="L110" s="325">
        <v>0.71092300469247827</v>
      </c>
      <c r="M110" s="313">
        <v>0.73580533601265841</v>
      </c>
      <c r="N110" s="313">
        <v>0.71219109815158688</v>
      </c>
      <c r="O110" s="313">
        <v>0.73439409458843663</v>
      </c>
      <c r="P110" s="317">
        <v>0.73791017114726964</v>
      </c>
      <c r="Q110" s="8" t="s">
        <v>341</v>
      </c>
    </row>
    <row r="111" spans="1:17" x14ac:dyDescent="0.25">
      <c r="A111" s="333" t="s">
        <v>78</v>
      </c>
      <c r="B111" s="325">
        <v>3.6796150576032804E-2</v>
      </c>
      <c r="C111" s="313">
        <v>4.2517935277122235E-2</v>
      </c>
      <c r="D111" s="313">
        <v>4.6266001469621378E-2</v>
      </c>
      <c r="E111" s="313">
        <v>4.8982016430612001E-2</v>
      </c>
      <c r="F111" s="322">
        <v>4.7784876990700421E-2</v>
      </c>
      <c r="G111" s="328">
        <v>3.4807515915288446E-2</v>
      </c>
      <c r="H111" s="327">
        <v>4.0085554589629903E-2</v>
      </c>
      <c r="I111" s="327">
        <v>3.9112709704726537E-2</v>
      </c>
      <c r="J111" s="327">
        <v>4.5821870859497175E-2</v>
      </c>
      <c r="K111" s="329">
        <v>4.249884362835249E-2</v>
      </c>
      <c r="L111" s="325">
        <v>5.9768213167560896E-2</v>
      </c>
      <c r="M111" s="313">
        <v>5.8992285654823132E-2</v>
      </c>
      <c r="N111" s="313">
        <v>5.8749209791204772E-2</v>
      </c>
      <c r="O111" s="313">
        <v>6.1443836210199824E-2</v>
      </c>
      <c r="P111" s="317">
        <v>5.7371414823598151E-2</v>
      </c>
    </row>
    <row r="112" spans="1:17" x14ac:dyDescent="0.25">
      <c r="A112" s="333" t="s">
        <v>101</v>
      </c>
      <c r="B112" s="325">
        <v>6.2980035583908023E-2</v>
      </c>
      <c r="C112" s="313">
        <v>6.9987638343610548E-2</v>
      </c>
      <c r="D112" s="313">
        <v>7.0547451542926659E-2</v>
      </c>
      <c r="E112" s="313">
        <v>7.2886542883869254E-2</v>
      </c>
      <c r="F112" s="322">
        <v>6.6989363177537786E-2</v>
      </c>
      <c r="G112" s="328">
        <v>2.8101093892388691E-2</v>
      </c>
      <c r="H112" s="327">
        <v>3.4350454583939226E-2</v>
      </c>
      <c r="I112" s="327">
        <v>3.6847199125850286E-2</v>
      </c>
      <c r="J112" s="327">
        <v>3.2258938891921045E-2</v>
      </c>
      <c r="K112" s="329">
        <v>3.4012824201308807E-2</v>
      </c>
      <c r="L112" s="325">
        <v>0.10807387452077219</v>
      </c>
      <c r="M112" s="313">
        <v>9.2570150552710381E-2</v>
      </c>
      <c r="N112" s="313">
        <v>9.4516176091838919E-2</v>
      </c>
      <c r="O112" s="313">
        <v>8.6819372558261804E-2</v>
      </c>
      <c r="P112" s="317">
        <v>8.6502274340599858E-2</v>
      </c>
      <c r="Q112" s="8" t="s">
        <v>340</v>
      </c>
    </row>
    <row r="113" spans="1:17" x14ac:dyDescent="0.25">
      <c r="A113" s="334" t="s">
        <v>6</v>
      </c>
      <c r="B113" s="325">
        <v>0.14072062754916137</v>
      </c>
      <c r="C113" s="313">
        <v>0.12061496521698144</v>
      </c>
      <c r="D113" s="313">
        <v>0.15579428113364768</v>
      </c>
      <c r="E113" s="313">
        <v>0.16705519840732386</v>
      </c>
      <c r="F113" s="322">
        <v>0.16238940208479613</v>
      </c>
      <c r="G113" s="328">
        <v>0.20166194652423403</v>
      </c>
      <c r="H113" s="327">
        <v>0.17392213570016479</v>
      </c>
      <c r="I113" s="327">
        <v>0.2168457115128847</v>
      </c>
      <c r="J113" s="327">
        <v>0.19818869942499268</v>
      </c>
      <c r="K113" s="329">
        <v>0.18971250454998462</v>
      </c>
      <c r="L113" s="325">
        <v>5.8876918480430376E-2</v>
      </c>
      <c r="M113" s="313">
        <v>4.206991803694958E-2</v>
      </c>
      <c r="N113" s="313">
        <v>8.5633418762933747E-2</v>
      </c>
      <c r="O113" s="313">
        <v>6.1135644660086925E-2</v>
      </c>
      <c r="P113" s="317">
        <v>7.0492661434559623E-2</v>
      </c>
      <c r="Q113" s="8" t="s">
        <v>337</v>
      </c>
    </row>
    <row r="114" spans="1:17" x14ac:dyDescent="0.25">
      <c r="A114" s="334" t="s">
        <v>7</v>
      </c>
      <c r="B114" s="325">
        <v>1.7660601365671932E-2</v>
      </c>
      <c r="C114" s="313">
        <v>1.7862412226801957E-2</v>
      </c>
      <c r="D114" s="313">
        <v>1.4851965530698561E-2</v>
      </c>
      <c r="E114" s="313">
        <v>1.8330581330967991E-2</v>
      </c>
      <c r="F114" s="322">
        <v>1.6314365682929426E-2</v>
      </c>
      <c r="G114" s="328">
        <v>3.3822809375199978E-2</v>
      </c>
      <c r="H114" s="327">
        <v>1.9650443896555379E-2</v>
      </c>
      <c r="I114" s="327">
        <v>5.3093172387778199E-2</v>
      </c>
      <c r="J114" s="327">
        <v>6.7658457789612381E-2</v>
      </c>
      <c r="K114" s="329">
        <v>5.8442864114012685E-2</v>
      </c>
      <c r="L114" s="325">
        <v>7.517003643010116E-3</v>
      </c>
      <c r="M114" s="313">
        <v>3.0162322887218405E-3</v>
      </c>
      <c r="N114" s="313">
        <v>9.3519297304014704E-3</v>
      </c>
      <c r="O114" s="313">
        <v>1.4097703313718398E-2</v>
      </c>
      <c r="P114" s="317">
        <v>9.5692831167389098E-3</v>
      </c>
      <c r="Q114" s="8" t="s">
        <v>339</v>
      </c>
    </row>
    <row r="115" spans="1:17" x14ac:dyDescent="0.25">
      <c r="A115" s="334" t="s">
        <v>8</v>
      </c>
      <c r="B115" s="325">
        <v>4.3812043851212255E-2</v>
      </c>
      <c r="C115" s="313">
        <v>1.9574556013528945E-2</v>
      </c>
      <c r="D115" s="313">
        <v>1.5386724888987331E-2</v>
      </c>
      <c r="E115" s="313">
        <v>1.7288492887483221E-2</v>
      </c>
      <c r="F115" s="322">
        <v>1.7238335501570098E-2</v>
      </c>
      <c r="G115" s="328">
        <v>8.9948105717300424E-3</v>
      </c>
      <c r="H115" s="327">
        <v>1.2374232393691759E-2</v>
      </c>
      <c r="I115" s="327">
        <v>1.3599261860614208E-2</v>
      </c>
      <c r="J115" s="327">
        <v>1.4117449238928492E-2</v>
      </c>
      <c r="K115" s="329">
        <v>1.2509477478966753E-2</v>
      </c>
      <c r="L115" s="325">
        <v>1.652661205080631E-2</v>
      </c>
      <c r="M115" s="313">
        <v>1.5268368994048195E-2</v>
      </c>
      <c r="N115" s="313">
        <v>2.1256841722303972E-2</v>
      </c>
      <c r="O115" s="313">
        <v>2.3716740651866332E-2</v>
      </c>
      <c r="P115" s="317">
        <v>2.2388474030480526E-2</v>
      </c>
    </row>
    <row r="116" spans="1:17" x14ac:dyDescent="0.25">
      <c r="A116" s="334" t="s">
        <v>9</v>
      </c>
      <c r="B116" s="325">
        <v>4.6764709024204096E-4</v>
      </c>
      <c r="C116" s="313">
        <v>4.0202571659543309E-4</v>
      </c>
      <c r="D116" s="313">
        <v>1.7192460631374658E-4</v>
      </c>
      <c r="E116" s="313">
        <v>2.1227727552467575E-4</v>
      </c>
      <c r="F116" s="322">
        <v>1.9391576113177305E-4</v>
      </c>
      <c r="G116" s="328">
        <v>4.0678053545216383E-5</v>
      </c>
      <c r="H116" s="327">
        <v>3.0026459371517057E-4</v>
      </c>
      <c r="I116" s="327">
        <v>4.6487905175299248E-5</v>
      </c>
      <c r="J116" s="327">
        <v>6.4318490463405529E-5</v>
      </c>
      <c r="K116" s="329">
        <v>5.2056593066856568E-5</v>
      </c>
      <c r="L116" s="325">
        <v>3.1885753595934691E-3</v>
      </c>
      <c r="M116" s="313">
        <v>2.7304420388495499E-3</v>
      </c>
      <c r="N116" s="313">
        <v>4.3882478166823655E-3</v>
      </c>
      <c r="O116" s="313">
        <v>3.6216627346149382E-3</v>
      </c>
      <c r="P116" s="317">
        <v>3.742318069275846E-3</v>
      </c>
      <c r="Q116" s="8" t="s">
        <v>336</v>
      </c>
    </row>
    <row r="117" spans="1:17" x14ac:dyDescent="0.25">
      <c r="A117" s="334" t="s">
        <v>172</v>
      </c>
      <c r="B117" s="325">
        <v>0.11344002703016007</v>
      </c>
      <c r="C117" s="313">
        <v>0.12067369214762937</v>
      </c>
      <c r="D117" s="313">
        <v>0.15592296090033647</v>
      </c>
      <c r="E117" s="313">
        <v>0.16345209866788116</v>
      </c>
      <c r="F117" s="322">
        <v>0.16270804446348783</v>
      </c>
      <c r="G117" s="328">
        <v>0.23091591598295291</v>
      </c>
      <c r="H117" s="327">
        <v>0.18890066608772815</v>
      </c>
      <c r="I117" s="327">
        <v>0.25142828554376684</v>
      </c>
      <c r="J117" s="327">
        <v>0.25670198670628686</v>
      </c>
      <c r="K117" s="329">
        <v>0.23578099989986062</v>
      </c>
      <c r="L117" s="325">
        <v>4.4255919577601645E-2</v>
      </c>
      <c r="M117" s="313">
        <v>4.5423721387367277E-2</v>
      </c>
      <c r="N117" s="313">
        <v>5.6637483723049609E-2</v>
      </c>
      <c r="O117" s="313">
        <v>5.7574136960654484E-2</v>
      </c>
      <c r="P117" s="317">
        <v>5.8074008272492574E-2</v>
      </c>
      <c r="Q117" s="8" t="s">
        <v>337</v>
      </c>
    </row>
    <row r="118" spans="1:17" x14ac:dyDescent="0.25">
      <c r="A118" s="334" t="s">
        <v>11</v>
      </c>
      <c r="B118" s="325">
        <v>2.999627702274181E-2</v>
      </c>
      <c r="C118" s="313">
        <v>3.4191399042243512E-2</v>
      </c>
      <c r="D118" s="313">
        <v>4.4815717213907258E-2</v>
      </c>
      <c r="E118" s="313">
        <v>4.4958572598477353E-2</v>
      </c>
      <c r="F118" s="322">
        <v>4.7991823890980244E-2</v>
      </c>
      <c r="G118" s="328">
        <v>7.0465798438260382E-2</v>
      </c>
      <c r="H118" s="327">
        <v>5.8806057294555861E-2</v>
      </c>
      <c r="I118" s="327">
        <v>7.1620152196974124E-2</v>
      </c>
      <c r="J118" s="327">
        <v>6.9283418509391417E-2</v>
      </c>
      <c r="K118" s="329">
        <v>6.8129364210178303E-2</v>
      </c>
      <c r="L118" s="325">
        <v>1.1412338029159145E-2</v>
      </c>
      <c r="M118" s="313">
        <v>1.0787337201625519E-2</v>
      </c>
      <c r="N118" s="313">
        <v>1.2576702033200476E-2</v>
      </c>
      <c r="O118" s="313">
        <v>1.1586024584456433E-2</v>
      </c>
      <c r="P118" s="317">
        <v>1.4279897895920993E-2</v>
      </c>
    </row>
    <row r="119" spans="1:17" x14ac:dyDescent="0.25">
      <c r="A119" s="334" t="s">
        <v>173</v>
      </c>
      <c r="B119" s="325">
        <v>8.3443750007418258E-2</v>
      </c>
      <c r="C119" s="313">
        <v>8.6482293105385841E-2</v>
      </c>
      <c r="D119" s="313">
        <v>0.1111072436864292</v>
      </c>
      <c r="E119" s="313">
        <v>0.11849352606940379</v>
      </c>
      <c r="F119" s="322">
        <v>0.11471622057250758</v>
      </c>
      <c r="G119" s="328">
        <v>0.16768684248515128</v>
      </c>
      <c r="H119" s="327">
        <v>0.1399829834641651</v>
      </c>
      <c r="I119" s="327">
        <v>0.17980813334679269</v>
      </c>
      <c r="J119" s="327">
        <v>0.18741902761468446</v>
      </c>
      <c r="K119" s="329">
        <v>0.16765203306825532</v>
      </c>
      <c r="L119" s="325">
        <v>3.2843581548442496E-2</v>
      </c>
      <c r="M119" s="313">
        <v>3.4636384185741755E-2</v>
      </c>
      <c r="N119" s="313">
        <v>4.4060781689849123E-2</v>
      </c>
      <c r="O119" s="313">
        <v>4.5988112376198056E-2</v>
      </c>
      <c r="P119" s="317">
        <v>4.3794110376571584E-2</v>
      </c>
      <c r="Q119" s="8" t="s">
        <v>337</v>
      </c>
    </row>
    <row r="120" spans="1:17" ht="13" thickBot="1" x14ac:dyDescent="0.3">
      <c r="A120" s="354" t="s">
        <v>64</v>
      </c>
      <c r="B120" s="326">
        <v>5.1356117215624469E-2</v>
      </c>
      <c r="C120" s="319">
        <v>4.3436177964350578E-2</v>
      </c>
      <c r="D120" s="319">
        <v>5.0552162769357332E-2</v>
      </c>
      <c r="E120" s="319">
        <v>5.9558687824687748E-2</v>
      </c>
      <c r="F120" s="323">
        <v>5.8861965796982919E-2</v>
      </c>
      <c r="G120" s="330">
        <v>7.1774441185239415E-2</v>
      </c>
      <c r="H120" s="331">
        <v>6.6939572791493762E-2</v>
      </c>
      <c r="I120" s="331">
        <v>7.0464152954948345E-2</v>
      </c>
      <c r="J120" s="331">
        <v>7.3118178794377459E-2</v>
      </c>
      <c r="K120" s="332">
        <v>6.8993662606517334E-2</v>
      </c>
      <c r="L120" s="326">
        <v>8.3492971325417973E-3</v>
      </c>
      <c r="M120" s="319">
        <v>8.9889497755998859E-3</v>
      </c>
      <c r="N120" s="319">
        <v>1.069641033584099E-2</v>
      </c>
      <c r="O120" s="319">
        <v>9.7879658616055135E-3</v>
      </c>
      <c r="P120" s="320">
        <v>1.0362427179460742E-2</v>
      </c>
      <c r="Q120" s="8" t="s">
        <v>338</v>
      </c>
    </row>
    <row r="122" spans="1:17" ht="13.5" thickBot="1" x14ac:dyDescent="0.35">
      <c r="A122" s="20" t="s">
        <v>348</v>
      </c>
    </row>
    <row r="123" spans="1:17" ht="13" x14ac:dyDescent="0.3">
      <c r="A123" s="355"/>
      <c r="B123" s="406" t="s">
        <v>310</v>
      </c>
      <c r="C123" s="407"/>
      <c r="D123" s="407"/>
      <c r="E123" s="407"/>
      <c r="F123" s="408"/>
      <c r="G123" s="409" t="s">
        <v>311</v>
      </c>
      <c r="H123" s="407"/>
      <c r="I123" s="407"/>
      <c r="J123" s="407"/>
      <c r="K123" s="410"/>
      <c r="L123" s="406" t="s">
        <v>335</v>
      </c>
      <c r="M123" s="407"/>
      <c r="N123" s="407"/>
      <c r="O123" s="407"/>
      <c r="P123" s="410"/>
    </row>
    <row r="124" spans="1:17" ht="13.5" thickBot="1" x14ac:dyDescent="0.35">
      <c r="A124" s="356" t="s">
        <v>179</v>
      </c>
      <c r="B124" s="348" t="s">
        <v>306</v>
      </c>
      <c r="C124" s="337" t="s">
        <v>307</v>
      </c>
      <c r="D124" s="337" t="s">
        <v>308</v>
      </c>
      <c r="E124" s="337" t="s">
        <v>309</v>
      </c>
      <c r="F124" s="338" t="s">
        <v>114</v>
      </c>
      <c r="G124" s="336" t="s">
        <v>306</v>
      </c>
      <c r="H124" s="337" t="s">
        <v>307</v>
      </c>
      <c r="I124" s="337" t="s">
        <v>308</v>
      </c>
      <c r="J124" s="337" t="s">
        <v>309</v>
      </c>
      <c r="K124" s="343" t="s">
        <v>114</v>
      </c>
      <c r="L124" s="348" t="s">
        <v>306</v>
      </c>
      <c r="M124" s="337" t="s">
        <v>307</v>
      </c>
      <c r="N124" s="337" t="s">
        <v>308</v>
      </c>
      <c r="O124" s="337" t="s">
        <v>309</v>
      </c>
      <c r="P124" s="343" t="s">
        <v>114</v>
      </c>
      <c r="Q124" s="20" t="s">
        <v>342</v>
      </c>
    </row>
    <row r="125" spans="1:17" x14ac:dyDescent="0.25">
      <c r="A125" s="333" t="s">
        <v>19</v>
      </c>
      <c r="B125" s="357">
        <v>3.9536334029558204E-3</v>
      </c>
      <c r="C125" s="340">
        <v>3.793689405690154E-3</v>
      </c>
      <c r="D125" s="340">
        <v>3.1621667413531283E-3</v>
      </c>
      <c r="E125" s="340">
        <v>2.7065653523041383E-3</v>
      </c>
      <c r="F125" s="342">
        <v>2.3766990661012732E-3</v>
      </c>
      <c r="G125" s="344">
        <v>1.8724420301343005E-2</v>
      </c>
      <c r="H125" s="345">
        <v>1.7970177838747197E-2</v>
      </c>
      <c r="I125" s="345">
        <v>1.6661398263096591E-2</v>
      </c>
      <c r="J125" s="345">
        <v>1.32700852372652E-2</v>
      </c>
      <c r="K125" s="346">
        <v>1.1417751116936759E-2</v>
      </c>
      <c r="L125" s="339">
        <v>1.3156983780161228E-2</v>
      </c>
      <c r="M125" s="340">
        <v>1.0238738680493596E-2</v>
      </c>
      <c r="N125" s="340">
        <v>9.4432253653262098E-3</v>
      </c>
      <c r="O125" s="340">
        <v>7.8555803390581557E-3</v>
      </c>
      <c r="P125" s="341">
        <v>6.4807249245324968E-3</v>
      </c>
      <c r="Q125" s="8" t="s">
        <v>355</v>
      </c>
    </row>
    <row r="126" spans="1:17" x14ac:dyDescent="0.25">
      <c r="A126" s="333" t="s">
        <v>20</v>
      </c>
      <c r="B126" s="325">
        <v>0.55037368467942305</v>
      </c>
      <c r="C126" s="313">
        <v>0.61753265811867586</v>
      </c>
      <c r="D126" s="313">
        <v>0.69628393945487854</v>
      </c>
      <c r="E126" s="313">
        <v>0.6824929133932971</v>
      </c>
      <c r="F126" s="322">
        <v>0.69795094502648647</v>
      </c>
      <c r="G126" s="328">
        <v>0.63917394356855595</v>
      </c>
      <c r="H126" s="327">
        <v>0.67106072922766802</v>
      </c>
      <c r="I126" s="327">
        <v>0.79060254990732803</v>
      </c>
      <c r="J126" s="327">
        <v>0.80560611459406717</v>
      </c>
      <c r="K126" s="347">
        <v>0.79450652169538427</v>
      </c>
      <c r="L126" s="316">
        <v>0.37877768269819245</v>
      </c>
      <c r="M126" s="313">
        <v>0.34434789729797288</v>
      </c>
      <c r="N126" s="313">
        <v>0.37980211165704653</v>
      </c>
      <c r="O126" s="313">
        <v>0.39035174018217805</v>
      </c>
      <c r="P126" s="317">
        <v>0.3864304450843476</v>
      </c>
      <c r="Q126" s="8" t="s">
        <v>343</v>
      </c>
    </row>
    <row r="127" spans="1:17" x14ac:dyDescent="0.25">
      <c r="A127" s="333" t="s">
        <v>65</v>
      </c>
      <c r="B127" s="325">
        <v>2.8138703833856325E-2</v>
      </c>
      <c r="C127" s="313">
        <v>0</v>
      </c>
      <c r="D127" s="313">
        <v>0</v>
      </c>
      <c r="E127" s="313">
        <v>0</v>
      </c>
      <c r="F127" s="322">
        <v>0</v>
      </c>
      <c r="G127" s="328">
        <v>3.8300391804143223E-3</v>
      </c>
      <c r="H127" s="327">
        <v>6.9770518028242304E-3</v>
      </c>
      <c r="I127" s="327">
        <v>6.7861644237086228E-3</v>
      </c>
      <c r="J127" s="327">
        <v>5.4984387460624718E-3</v>
      </c>
      <c r="K127" s="347">
        <v>4.7652548722827252E-3</v>
      </c>
      <c r="L127" s="316">
        <v>0.14611147573670524</v>
      </c>
      <c r="M127" s="313">
        <v>0.20914310097366073</v>
      </c>
      <c r="N127" s="313">
        <v>0.18373443686495253</v>
      </c>
      <c r="O127" s="313">
        <v>0.18307090194496298</v>
      </c>
      <c r="P127" s="317">
        <v>0.16221455005272153</v>
      </c>
      <c r="Q127" s="8" t="s">
        <v>344</v>
      </c>
    </row>
    <row r="128" spans="1:17" x14ac:dyDescent="0.25">
      <c r="A128" s="333" t="s">
        <v>66</v>
      </c>
      <c r="B128" s="325">
        <v>0.41753397808376475</v>
      </c>
      <c r="C128" s="313">
        <v>0.378673652475634</v>
      </c>
      <c r="D128" s="313">
        <v>0.30055389380376835</v>
      </c>
      <c r="E128" s="313">
        <v>0.31480052125439889</v>
      </c>
      <c r="F128" s="322">
        <v>0.29967235590741226</v>
      </c>
      <c r="G128" s="328">
        <v>0.33827159694968667</v>
      </c>
      <c r="H128" s="327">
        <v>0.30399204113076056</v>
      </c>
      <c r="I128" s="327">
        <v>0.18594988740586688</v>
      </c>
      <c r="J128" s="327">
        <v>0.17562536142260524</v>
      </c>
      <c r="K128" s="347">
        <v>0.18931047231539619</v>
      </c>
      <c r="L128" s="316">
        <v>0.46195385778494102</v>
      </c>
      <c r="M128" s="313">
        <v>0.43627026304787275</v>
      </c>
      <c r="N128" s="313">
        <v>0.42702022611267471</v>
      </c>
      <c r="O128" s="313">
        <v>0.4187217775338008</v>
      </c>
      <c r="P128" s="317">
        <v>0.44487427993839834</v>
      </c>
      <c r="Q128" s="8" t="s">
        <v>354</v>
      </c>
    </row>
    <row r="129" spans="1:17" x14ac:dyDescent="0.25">
      <c r="A129" s="334" t="s">
        <v>22</v>
      </c>
      <c r="B129" s="325">
        <v>0.22205778996446282</v>
      </c>
      <c r="C129" s="313">
        <v>0.27666102140860427</v>
      </c>
      <c r="D129" s="313">
        <v>0.283783484210543</v>
      </c>
      <c r="E129" s="313">
        <v>0.29787059581708936</v>
      </c>
      <c r="F129" s="322">
        <v>0.27697648650803758</v>
      </c>
      <c r="G129" s="328">
        <v>0.17209746249389321</v>
      </c>
      <c r="H129" s="327">
        <v>0.15202520805400804</v>
      </c>
      <c r="I129" s="327">
        <v>0.11663439409616363</v>
      </c>
      <c r="J129" s="327">
        <v>9.1799163448543747E-2</v>
      </c>
      <c r="K129" s="347">
        <v>7.4113779781856515E-2</v>
      </c>
      <c r="L129" s="316">
        <v>0.31174380574963789</v>
      </c>
      <c r="M129" s="313">
        <v>0.2865446034886277</v>
      </c>
      <c r="N129" s="313">
        <v>0.34179069471608708</v>
      </c>
      <c r="O129" s="313">
        <v>0.32802462991469805</v>
      </c>
      <c r="P129" s="317">
        <v>0.32354108665019771</v>
      </c>
      <c r="Q129" s="8" t="s">
        <v>345</v>
      </c>
    </row>
    <row r="130" spans="1:17" x14ac:dyDescent="0.25">
      <c r="A130" s="334" t="s">
        <v>23</v>
      </c>
      <c r="B130" s="325">
        <v>8.4547767295908766E-2</v>
      </c>
      <c r="C130" s="313">
        <v>6.7681356685641444E-2</v>
      </c>
      <c r="D130" s="313">
        <v>4.7931290566228947E-2</v>
      </c>
      <c r="E130" s="313">
        <v>3.1514477142940402E-2</v>
      </c>
      <c r="F130" s="322">
        <v>1.894634991627402E-2</v>
      </c>
      <c r="G130" s="328">
        <v>9.3217679393560963E-3</v>
      </c>
      <c r="H130" s="327">
        <v>1.5832039044165639E-2</v>
      </c>
      <c r="I130" s="327">
        <v>3.0078841803371668E-3</v>
      </c>
      <c r="J130" s="327">
        <v>1.9338545614800203E-3</v>
      </c>
      <c r="K130" s="347">
        <v>2.2281522119550015E-3</v>
      </c>
      <c r="L130" s="316">
        <v>1.3314834353823444E-2</v>
      </c>
      <c r="M130" s="313">
        <v>1.9257707608690965E-2</v>
      </c>
      <c r="N130" s="313">
        <v>6.1536993750894433E-3</v>
      </c>
      <c r="O130" s="313">
        <v>1.0297738234404167E-2</v>
      </c>
      <c r="P130" s="317">
        <v>1.7887128169942038E-2</v>
      </c>
      <c r="Q130" s="8" t="s">
        <v>346</v>
      </c>
    </row>
    <row r="131" spans="1:17" x14ac:dyDescent="0.25">
      <c r="A131" s="334" t="s">
        <v>24</v>
      </c>
      <c r="B131" s="325">
        <v>0.40474455806218507</v>
      </c>
      <c r="C131" s="313">
        <v>0.29959223063048002</v>
      </c>
      <c r="D131" s="313">
        <v>0.36269276628626718</v>
      </c>
      <c r="E131" s="313">
        <v>0.39913029394763472</v>
      </c>
      <c r="F131" s="322">
        <v>0.44780009544880578</v>
      </c>
      <c r="G131" s="328">
        <v>0.54663439917433188</v>
      </c>
      <c r="H131" s="327">
        <v>0.5579933663669463</v>
      </c>
      <c r="I131" s="327">
        <v>0.6372309731461121</v>
      </c>
      <c r="J131" s="327">
        <v>0.70975443211308353</v>
      </c>
      <c r="K131" s="347">
        <v>0.74552820859639823</v>
      </c>
      <c r="L131" s="316">
        <v>0.24810787009728577</v>
      </c>
      <c r="M131" s="313">
        <v>0.21819224088513045</v>
      </c>
      <c r="N131" s="313">
        <v>0.24146909634435273</v>
      </c>
      <c r="O131" s="313">
        <v>0.26255264197832978</v>
      </c>
      <c r="P131" s="317">
        <v>0.27764129439896768</v>
      </c>
      <c r="Q131" s="8" t="s">
        <v>347</v>
      </c>
    </row>
    <row r="132" spans="1:17" x14ac:dyDescent="0.25">
      <c r="A132" s="334" t="s">
        <v>67</v>
      </c>
      <c r="B132" s="325">
        <v>0.28864988467744329</v>
      </c>
      <c r="C132" s="313">
        <v>0.3560653912752742</v>
      </c>
      <c r="D132" s="313">
        <v>0.30559245893696091</v>
      </c>
      <c r="E132" s="313">
        <v>0.27148463309233561</v>
      </c>
      <c r="F132" s="322">
        <v>0.25627706812688261</v>
      </c>
      <c r="G132" s="328">
        <v>0.27194637039241887</v>
      </c>
      <c r="H132" s="327">
        <v>0.27414938653487997</v>
      </c>
      <c r="I132" s="327">
        <v>0.24312674857738711</v>
      </c>
      <c r="J132" s="327">
        <v>0.19651254987689273</v>
      </c>
      <c r="K132" s="347">
        <v>0.17812985940979023</v>
      </c>
      <c r="L132" s="316">
        <v>0.42683348979925279</v>
      </c>
      <c r="M132" s="313">
        <v>0.47600544801755085</v>
      </c>
      <c r="N132" s="313">
        <v>0.41058650956447074</v>
      </c>
      <c r="O132" s="313">
        <v>0.39912498987256795</v>
      </c>
      <c r="P132" s="317">
        <v>0.38093049078089258</v>
      </c>
      <c r="Q132" s="8" t="s">
        <v>350</v>
      </c>
    </row>
    <row r="133" spans="1:17" x14ac:dyDescent="0.25">
      <c r="A133" s="334" t="s">
        <v>72</v>
      </c>
      <c r="B133" s="325">
        <v>9.1127587333326737E-2</v>
      </c>
      <c r="C133" s="313">
        <v>0.13198980624068554</v>
      </c>
      <c r="D133" s="313">
        <v>0.10156303194310949</v>
      </c>
      <c r="E133" s="313">
        <v>0.10584134268410778</v>
      </c>
      <c r="F133" s="322">
        <v>9.0460951084272254E-2</v>
      </c>
      <c r="G133" s="328">
        <v>5.1520788914304574E-2</v>
      </c>
      <c r="H133" s="327">
        <v>4.452396137563739E-2</v>
      </c>
      <c r="I133" s="327">
        <v>4.133710355263135E-2</v>
      </c>
      <c r="J133" s="327">
        <v>4.3716486006954908E-2</v>
      </c>
      <c r="K133" s="347">
        <v>5.8865122019644195E-2</v>
      </c>
      <c r="L133" s="316">
        <v>9.2528129249157431E-2</v>
      </c>
      <c r="M133" s="313">
        <v>0.1085853687971691</v>
      </c>
      <c r="N133" s="313">
        <v>0.11489091892063795</v>
      </c>
      <c r="O133" s="313">
        <v>0.11967235070511728</v>
      </c>
      <c r="P133" s="317">
        <v>0.13209302452472182</v>
      </c>
      <c r="Q133" s="8" t="s">
        <v>351</v>
      </c>
    </row>
    <row r="134" spans="1:17" x14ac:dyDescent="0.25">
      <c r="A134" s="334" t="s">
        <v>40</v>
      </c>
      <c r="B134" s="325">
        <v>6.6278298571584113E-2</v>
      </c>
      <c r="C134" s="313">
        <v>7.7459082960597489E-2</v>
      </c>
      <c r="D134" s="313">
        <v>5.3281797035448886E-2</v>
      </c>
      <c r="E134" s="313">
        <v>4.4475360700318704E-2</v>
      </c>
      <c r="F134" s="322">
        <v>4.9008558258880494E-2</v>
      </c>
      <c r="G134" s="328">
        <v>4.1491120508083595E-2</v>
      </c>
      <c r="H134" s="327">
        <v>5.0559561417617686E-2</v>
      </c>
      <c r="I134" s="327">
        <v>4.1402742679078224E-2</v>
      </c>
      <c r="J134" s="327">
        <v>3.3402442150600356E-2</v>
      </c>
      <c r="K134" s="347">
        <v>2.9300181858571722E-2</v>
      </c>
      <c r="L134" s="316">
        <v>0.15179963500516475</v>
      </c>
      <c r="M134" s="313">
        <v>0.17664679691911159</v>
      </c>
      <c r="N134" s="313">
        <v>0.1384045699565902</v>
      </c>
      <c r="O134" s="313">
        <v>0.15988114941806536</v>
      </c>
      <c r="P134" s="317">
        <v>0.13155012228941054</v>
      </c>
      <c r="Q134" s="8" t="s">
        <v>352</v>
      </c>
    </row>
    <row r="135" spans="1:17" ht="13" thickBot="1" x14ac:dyDescent="0.3">
      <c r="A135" s="335" t="s">
        <v>81</v>
      </c>
      <c r="B135" s="326">
        <v>1.1631244988665723E-2</v>
      </c>
      <c r="C135" s="319">
        <v>1.5126315419533225E-2</v>
      </c>
      <c r="D135" s="319">
        <v>1.0400155812322159E-2</v>
      </c>
      <c r="E135" s="319">
        <v>9.2656154386716282E-3</v>
      </c>
      <c r="F135" s="323">
        <v>8.4106821733288435E-3</v>
      </c>
      <c r="G135" s="330">
        <v>3.2412005836619934E-2</v>
      </c>
      <c r="H135" s="331">
        <v>3.680977023236346E-2</v>
      </c>
      <c r="I135" s="331">
        <v>4.9922010353708524E-2</v>
      </c>
      <c r="J135" s="331">
        <v>1.3819929111871448E-2</v>
      </c>
      <c r="K135" s="349">
        <v>3.1276202095417947E-2</v>
      </c>
      <c r="L135" s="318">
        <v>2.2866178714542464E-2</v>
      </c>
      <c r="M135" s="319">
        <v>1.1615828559852763E-3</v>
      </c>
      <c r="N135" s="319">
        <v>6.5074973365771447E-3</v>
      </c>
      <c r="O135" s="319">
        <v>1.4070930053753927E-3</v>
      </c>
      <c r="P135" s="320">
        <v>1.48684280524951E-3</v>
      </c>
      <c r="Q135" s="8" t="s">
        <v>353</v>
      </c>
    </row>
    <row r="137" spans="1:17" ht="13" x14ac:dyDescent="0.3">
      <c r="A137" s="8" t="s">
        <v>356</v>
      </c>
    </row>
  </sheetData>
  <mergeCells count="22">
    <mergeCell ref="A97:K97"/>
    <mergeCell ref="A101:K101"/>
    <mergeCell ref="N29:R34"/>
    <mergeCell ref="M68:Q74"/>
    <mergeCell ref="A1:R1"/>
    <mergeCell ref="G49:K65"/>
    <mergeCell ref="N37:R46"/>
    <mergeCell ref="N4:R13"/>
    <mergeCell ref="N17:R25"/>
    <mergeCell ref="A69:K69"/>
    <mergeCell ref="A73:K73"/>
    <mergeCell ref="A77:K77"/>
    <mergeCell ref="A81:K81"/>
    <mergeCell ref="A85:K85"/>
    <mergeCell ref="A89:K89"/>
    <mergeCell ref="A93:K93"/>
    <mergeCell ref="B107:F107"/>
    <mergeCell ref="G107:K107"/>
    <mergeCell ref="L107:P107"/>
    <mergeCell ref="B123:F123"/>
    <mergeCell ref="G123:K123"/>
    <mergeCell ref="L123:P1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2CD1-85F9-460E-836A-2AEA757F9EF8}">
  <dimension ref="A48:K70"/>
  <sheetViews>
    <sheetView workbookViewId="0">
      <selection activeCell="R10" sqref="R10"/>
    </sheetView>
  </sheetViews>
  <sheetFormatPr defaultRowHeight="14.5" x14ac:dyDescent="0.35"/>
  <cols>
    <col min="1" max="1" width="16" customWidth="1"/>
    <col min="2" max="11" width="7.1796875" bestFit="1" customWidth="1"/>
  </cols>
  <sheetData>
    <row r="48" spans="1:1" x14ac:dyDescent="0.35">
      <c r="A48" s="283" t="s">
        <v>291</v>
      </c>
    </row>
    <row r="49" spans="1:11" x14ac:dyDescent="0.35">
      <c r="A49" s="283" t="s">
        <v>292</v>
      </c>
      <c r="B49" s="279"/>
      <c r="C49" s="279"/>
      <c r="D49" s="279"/>
      <c r="E49" s="279"/>
      <c r="F49" s="279"/>
      <c r="G49" s="279"/>
      <c r="H49" s="279"/>
      <c r="I49" s="279"/>
      <c r="J49" s="279"/>
      <c r="K49" s="279"/>
    </row>
    <row r="50" spans="1:11" x14ac:dyDescent="0.35">
      <c r="B50" s="281">
        <f>'Key Ratios'!B3</f>
        <v>39903</v>
      </c>
      <c r="C50" s="281">
        <f>'Key Ratios'!C3</f>
        <v>40268</v>
      </c>
      <c r="D50" s="281">
        <f>'Key Ratios'!D3</f>
        <v>40633</v>
      </c>
      <c r="E50" s="281">
        <f>'Key Ratios'!E3</f>
        <v>40999</v>
      </c>
      <c r="F50" s="281">
        <f>'Key Ratios'!F3</f>
        <v>41364</v>
      </c>
      <c r="G50" s="281">
        <f>'Key Ratios'!G3</f>
        <v>41729</v>
      </c>
      <c r="H50" s="281">
        <f>'Key Ratios'!H3</f>
        <v>42094</v>
      </c>
      <c r="I50" s="281">
        <f>'Key Ratios'!I3</f>
        <v>42460</v>
      </c>
      <c r="J50" s="281">
        <f>'Key Ratios'!J3</f>
        <v>42825</v>
      </c>
      <c r="K50" s="281">
        <f>'Key Ratios'!K3</f>
        <v>43190</v>
      </c>
    </row>
    <row r="51" spans="1:11" x14ac:dyDescent="0.35">
      <c r="A51" t="str">
        <f>'Key Ratios'!A11</f>
        <v>Operating Margin</v>
      </c>
      <c r="B51" s="280">
        <f>'Key Ratios'!B11</f>
        <v>0.13672648695686057</v>
      </c>
      <c r="C51" s="280">
        <f>'Key Ratios'!C11</f>
        <v>0.16892623386710909</v>
      </c>
      <c r="D51" s="280">
        <f>'Key Ratios'!D11</f>
        <v>0.13056496234392032</v>
      </c>
      <c r="E51" s="280">
        <f>'Key Ratios'!E11</f>
        <v>0.15347450679692926</v>
      </c>
      <c r="F51" s="280">
        <f>'Key Ratios'!F11</f>
        <v>0.13818852235200876</v>
      </c>
      <c r="G51" s="280">
        <f>'Key Ratios'!G11</f>
        <v>0.14005911660594247</v>
      </c>
      <c r="H51" s="280">
        <f>'Key Ratios'!H11</f>
        <v>0.12278786165095162</v>
      </c>
      <c r="I51" s="280">
        <f>'Key Ratios'!I11</f>
        <v>0.15662964486493902</v>
      </c>
      <c r="J51" s="280">
        <f>'Key Ratios'!J11</f>
        <v>0.16262228749992122</v>
      </c>
      <c r="K51" s="280">
        <f>'Key Ratios'!K11</f>
        <v>0.16382593004326035</v>
      </c>
    </row>
    <row r="52" spans="1:11" x14ac:dyDescent="0.35">
      <c r="A52" t="str">
        <f>'Key Ratios'!A12</f>
        <v>PBT Margin</v>
      </c>
      <c r="B52" s="280">
        <f>'Key Ratios'!B12</f>
        <v>0.14460935521368409</v>
      </c>
      <c r="C52" s="280">
        <f>'Key Ratios'!C12</f>
        <v>0.17969905154021601</v>
      </c>
      <c r="D52" s="280">
        <f>'Key Ratios'!D12</f>
        <v>0.12396992875012963</v>
      </c>
      <c r="E52" s="280">
        <f>'Key Ratios'!E12</f>
        <v>0.12149397155014431</v>
      </c>
      <c r="F52" s="280">
        <f>'Key Ratios'!F12</f>
        <v>0.1064114900175068</v>
      </c>
      <c r="G52" s="280">
        <f>'Key Ratios'!G12</f>
        <v>0.11344002703016012</v>
      </c>
      <c r="H52" s="280">
        <f>'Key Ratios'!H12</f>
        <v>0.12067369214762919</v>
      </c>
      <c r="I52" s="280">
        <f>'Key Ratios'!I12</f>
        <v>0.1559229609003365</v>
      </c>
      <c r="J52" s="280">
        <f>'Key Ratios'!J12</f>
        <v>0.16345209866788135</v>
      </c>
      <c r="K52" s="280">
        <f>'Key Ratios'!K12</f>
        <v>0.16270804446348788</v>
      </c>
    </row>
    <row r="53" spans="1:11" x14ac:dyDescent="0.35">
      <c r="A53" t="str">
        <f>'Key Ratios'!A13</f>
        <v>Net Margin</v>
      </c>
      <c r="B53" s="280">
        <f>'Key Ratios'!B13</f>
        <v>0.10404639292416992</v>
      </c>
      <c r="C53" s="280">
        <f>'Key Ratios'!C13</f>
        <v>0.14162993442136093</v>
      </c>
      <c r="D53" s="280">
        <f>'Key Ratios'!D13</f>
        <v>9.9386893343774402E-2</v>
      </c>
      <c r="E53" s="280">
        <f>'Key Ratios'!E13</f>
        <v>0.10085783851159269</v>
      </c>
      <c r="F53" s="280">
        <f>'Key Ratios'!F13</f>
        <v>8.9117729596505713E-2</v>
      </c>
      <c r="G53" s="280">
        <f>'Key Ratios'!G13</f>
        <v>8.3443750007418313E-2</v>
      </c>
      <c r="H53" s="280">
        <f>'Key Ratios'!H13</f>
        <v>8.6482293105385674E-2</v>
      </c>
      <c r="I53" s="280">
        <f>'Key Ratios'!I13</f>
        <v>0.11110724368642923</v>
      </c>
      <c r="J53" s="280">
        <f>'Key Ratios'!J13</f>
        <v>0.11849352606940398</v>
      </c>
      <c r="K53" s="280">
        <f>'Key Ratios'!K13</f>
        <v>0.11471622057250763</v>
      </c>
    </row>
    <row r="55" spans="1:11" x14ac:dyDescent="0.35">
      <c r="A55" s="283" t="s">
        <v>293</v>
      </c>
    </row>
    <row r="56" spans="1:11" x14ac:dyDescent="0.35">
      <c r="B56" s="281">
        <f>B50</f>
        <v>39903</v>
      </c>
      <c r="C56" s="281">
        <f t="shared" ref="C56:K56" si="0">C50</f>
        <v>40268</v>
      </c>
      <c r="D56" s="281">
        <f t="shared" si="0"/>
        <v>40633</v>
      </c>
      <c r="E56" s="281">
        <f t="shared" si="0"/>
        <v>40999</v>
      </c>
      <c r="F56" s="281">
        <f t="shared" si="0"/>
        <v>41364</v>
      </c>
      <c r="G56" s="281">
        <f t="shared" si="0"/>
        <v>41729</v>
      </c>
      <c r="H56" s="281">
        <f t="shared" si="0"/>
        <v>42094</v>
      </c>
      <c r="I56" s="281">
        <f t="shared" si="0"/>
        <v>42460</v>
      </c>
      <c r="J56" s="281">
        <f t="shared" si="0"/>
        <v>42825</v>
      </c>
      <c r="K56" s="281">
        <f t="shared" si="0"/>
        <v>43190</v>
      </c>
    </row>
    <row r="57" spans="1:11" x14ac:dyDescent="0.35">
      <c r="A57" t="s">
        <v>294</v>
      </c>
      <c r="B57" s="280">
        <f>'Key Ratios'!B21</f>
        <v>0.33723870288758806</v>
      </c>
      <c r="C57" s="280">
        <f>'Key Ratios'!C21</f>
        <v>0.64410306434017739</v>
      </c>
      <c r="D57" s="280">
        <f>'Key Ratios'!D21</f>
        <v>0.65218567958701856</v>
      </c>
      <c r="E57" s="280">
        <f>'Key Ratios'!E21</f>
        <v>0.55436462517162666</v>
      </c>
      <c r="F57" s="280">
        <f>'Key Ratios'!F21</f>
        <v>0.42310396625012059</v>
      </c>
      <c r="G57" s="280">
        <f>'Key Ratios'!G21</f>
        <v>0.37663017177184493</v>
      </c>
      <c r="H57" s="280">
        <f>'Key Ratios'!H21</f>
        <v>0.36470259106328456</v>
      </c>
      <c r="I57" s="280">
        <f>'Key Ratios'!I21</f>
        <v>0.35771375790799842</v>
      </c>
      <c r="J57" s="280">
        <f>'Key Ratios'!J21</f>
        <v>0.33399496997910305</v>
      </c>
      <c r="K57" s="280">
        <f>'Key Ratios'!K21</f>
        <v>0.31416413456505643</v>
      </c>
    </row>
    <row r="58" spans="1:11" x14ac:dyDescent="0.35">
      <c r="A58" t="s">
        <v>295</v>
      </c>
      <c r="B58" s="280">
        <f>'Key Ratios'!B22</f>
        <v>0.45988131695899204</v>
      </c>
      <c r="C58" s="280">
        <f>'Key Ratios'!C22</f>
        <v>0.80254598490534013</v>
      </c>
      <c r="D58" s="280">
        <f>'Key Ratios'!D22</f>
        <v>0.66310170685124503</v>
      </c>
      <c r="E58" s="280">
        <f>'Key Ratios'!E22</f>
        <v>0.57613384784609312</v>
      </c>
      <c r="F58" s="280">
        <f>'Key Ratios'!F22</f>
        <v>0.44992758267791882</v>
      </c>
      <c r="G58" s="280">
        <f>'Key Ratios'!G22</f>
        <v>0.48929408425714616</v>
      </c>
      <c r="H58" s="280">
        <f>'Key Ratios'!H22</f>
        <v>0.51058576772613451</v>
      </c>
      <c r="I58" s="280">
        <f>'Key Ratios'!I22</f>
        <v>0.50255308503906893</v>
      </c>
      <c r="J58" s="280">
        <f>'Key Ratios'!J22</f>
        <v>0.46131700307280332</v>
      </c>
      <c r="K58" s="280">
        <f>'Key Ratios'!K22</f>
        <v>0.44612656429498826</v>
      </c>
    </row>
    <row r="60" spans="1:11" x14ac:dyDescent="0.35">
      <c r="A60" s="283" t="s">
        <v>297</v>
      </c>
    </row>
    <row r="61" spans="1:11" x14ac:dyDescent="0.35">
      <c r="B61" s="281">
        <f t="shared" ref="B61:J61" si="1">C56</f>
        <v>40268</v>
      </c>
      <c r="C61" s="281">
        <f t="shared" si="1"/>
        <v>40633</v>
      </c>
      <c r="D61" s="281">
        <f t="shared" si="1"/>
        <v>40999</v>
      </c>
      <c r="E61" s="281">
        <f t="shared" si="1"/>
        <v>41364</v>
      </c>
      <c r="F61" s="281">
        <f t="shared" si="1"/>
        <v>41729</v>
      </c>
      <c r="G61" s="281">
        <f t="shared" si="1"/>
        <v>42094</v>
      </c>
      <c r="H61" s="281">
        <f t="shared" si="1"/>
        <v>42460</v>
      </c>
      <c r="I61" s="281">
        <f t="shared" si="1"/>
        <v>42825</v>
      </c>
      <c r="J61" s="281">
        <f t="shared" si="1"/>
        <v>43190</v>
      </c>
    </row>
    <row r="62" spans="1:11" x14ac:dyDescent="0.35">
      <c r="A62" t="s">
        <v>298</v>
      </c>
      <c r="B62" s="280">
        <f>'Key Ratios'!C4</f>
        <v>0.27916442083525439</v>
      </c>
      <c r="C62" s="280">
        <f>'Key Ratios'!D4</f>
        <v>0.23097527760185499</v>
      </c>
      <c r="D62" s="280">
        <f>'Key Ratios'!E4</f>
        <v>0.21554361728287486</v>
      </c>
      <c r="E62" s="280">
        <f>'Key Ratios'!F4</f>
        <v>8.0189897548796907E-3</v>
      </c>
      <c r="F62" s="280">
        <f>'Key Ratios'!G4</f>
        <v>6.3419430489003892E-2</v>
      </c>
      <c r="G62" s="280">
        <f>'Key Ratios'!H4</f>
        <v>9.1386233371723469E-2</v>
      </c>
      <c r="H62" s="280">
        <f>'Key Ratios'!I4</f>
        <v>3.1081771813248338E-2</v>
      </c>
      <c r="I62" s="280">
        <f>'Key Ratios'!J4</f>
        <v>2.0307495420617272E-3</v>
      </c>
      <c r="J62" s="280">
        <f>'Key Ratios'!K4</f>
        <v>0.13087613322732339</v>
      </c>
    </row>
    <row r="63" spans="1:11" x14ac:dyDescent="0.35">
      <c r="A63" t="s">
        <v>180</v>
      </c>
      <c r="B63" s="280">
        <f>'Key Ratios'!C5</f>
        <v>0.58955575763699497</v>
      </c>
      <c r="C63" s="280">
        <f>'Key Ratios'!D5</f>
        <v>-0.15078061820865662</v>
      </c>
      <c r="D63" s="280">
        <f>'Key Ratios'!E5</f>
        <v>0.19126648813187042</v>
      </c>
      <c r="E63" s="280">
        <f>'Key Ratios'!F5</f>
        <v>-0.11711831215026858</v>
      </c>
      <c r="F63" s="280">
        <f>'Key Ratios'!G5</f>
        <v>0.13365886446307029</v>
      </c>
      <c r="G63" s="280">
        <f>'Key Ratios'!H5</f>
        <v>0.16098003313279041</v>
      </c>
      <c r="H63" s="280">
        <f>'Key Ratios'!I5</f>
        <v>0.3322648866565352</v>
      </c>
      <c r="I63" s="280">
        <f>'Key Ratios'!J5</f>
        <v>5.0416359442329695E-2</v>
      </c>
      <c r="J63" s="280">
        <f>'Key Ratios'!K5</f>
        <v>0.12572824495648671</v>
      </c>
    </row>
    <row r="64" spans="1:11" x14ac:dyDescent="0.35">
      <c r="A64" t="s">
        <v>281</v>
      </c>
      <c r="B64" s="280">
        <f>'Key Ratios'!C6</f>
        <v>0.74122300586693357</v>
      </c>
      <c r="C64" s="280">
        <f>'Key Ratios'!D6</f>
        <v>-0.13617972695052905</v>
      </c>
      <c r="D64" s="280">
        <f>'Key Ratios'!E6</f>
        <v>0.23353389698635652</v>
      </c>
      <c r="E64" s="280">
        <f>'Key Ratios'!F6</f>
        <v>-0.10931698435325055</v>
      </c>
      <c r="F64" s="280">
        <f>'Key Ratios'!G6</f>
        <v>-4.2867394342269716E-3</v>
      </c>
      <c r="G64" s="280">
        <f>'Key Ratios'!H6</f>
        <v>0.13112826445653747</v>
      </c>
      <c r="H64" s="280">
        <f>'Key Ratios'!I6</f>
        <v>0.32467178618735715</v>
      </c>
      <c r="I64" s="280">
        <f>'Key Ratios'!J6</f>
        <v>6.8644606811617326E-2</v>
      </c>
      <c r="J64" s="280">
        <f>'Key Ratios'!K6</f>
        <v>9.4826360922915187E-2</v>
      </c>
    </row>
    <row r="66" spans="1:11" x14ac:dyDescent="0.35">
      <c r="A66" s="283" t="s">
        <v>299</v>
      </c>
      <c r="B66" s="279"/>
      <c r="C66" s="279"/>
      <c r="D66" s="279"/>
      <c r="E66" s="279"/>
      <c r="F66" s="279"/>
      <c r="G66" s="279"/>
      <c r="H66" s="279"/>
      <c r="I66" s="279"/>
      <c r="J66" s="279"/>
      <c r="K66" s="279"/>
    </row>
    <row r="67" spans="1:11" x14ac:dyDescent="0.35">
      <c r="B67" s="281">
        <f>B56</f>
        <v>39903</v>
      </c>
      <c r="C67" s="281">
        <f t="shared" ref="C67:K67" si="2">C56</f>
        <v>40268</v>
      </c>
      <c r="D67" s="281">
        <f t="shared" si="2"/>
        <v>40633</v>
      </c>
      <c r="E67" s="281">
        <f t="shared" si="2"/>
        <v>40999</v>
      </c>
      <c r="F67" s="281">
        <f t="shared" si="2"/>
        <v>41364</v>
      </c>
      <c r="G67" s="281">
        <f t="shared" si="2"/>
        <v>41729</v>
      </c>
      <c r="H67" s="281">
        <f t="shared" si="2"/>
        <v>42094</v>
      </c>
      <c r="I67" s="281">
        <f t="shared" si="2"/>
        <v>42460</v>
      </c>
      <c r="J67" s="281">
        <f t="shared" si="2"/>
        <v>42825</v>
      </c>
      <c r="K67" s="281">
        <f t="shared" si="2"/>
        <v>43190</v>
      </c>
    </row>
    <row r="68" spans="1:11" x14ac:dyDescent="0.35">
      <c r="A68" t="s">
        <v>300</v>
      </c>
      <c r="B68" s="282">
        <f>'Profit &amp; Loss'!B4</f>
        <v>12319.12</v>
      </c>
      <c r="C68" s="282">
        <f>'Profit &amp; Loss'!C4</f>
        <v>15758.18</v>
      </c>
      <c r="D68" s="282">
        <f>'Profit &amp; Loss'!D4</f>
        <v>19397.93</v>
      </c>
      <c r="E68" s="282">
        <f>'Profit &amp; Loss'!E4</f>
        <v>23579.03</v>
      </c>
      <c r="F68" s="282">
        <f>'Profit &amp; Loss'!F4</f>
        <v>23768.11</v>
      </c>
      <c r="G68" s="282">
        <f>'Profit &amp; Loss'!G4</f>
        <v>25275.47</v>
      </c>
      <c r="H68" s="282">
        <f>'Profit &amp; Loss'!H4</f>
        <v>27585.3</v>
      </c>
      <c r="I68" s="282">
        <f>'Profit &amp; Loss'!I4</f>
        <v>28442.7</v>
      </c>
      <c r="J68" s="282">
        <f>'Profit &amp; Loss'!J4</f>
        <v>28500.46</v>
      </c>
      <c r="K68" s="282">
        <f>'Profit &amp; Loss'!K4</f>
        <v>32230.49</v>
      </c>
    </row>
    <row r="69" spans="1:11" x14ac:dyDescent="0.35">
      <c r="A69" t="s">
        <v>132</v>
      </c>
      <c r="B69" s="282">
        <f>'Profit &amp; Loss'!B19</f>
        <v>1781.4600000000003</v>
      </c>
      <c r="C69" s="282">
        <f>'Profit &amp; Loss'!C19</f>
        <v>2831.7300000000014</v>
      </c>
      <c r="D69" s="282">
        <f>'Profit &amp; Loss'!D19</f>
        <v>2404.760000000002</v>
      </c>
      <c r="E69" s="282">
        <f>'Profit &amp; Loss'!E19</f>
        <v>2864.7099999999991</v>
      </c>
      <c r="F69" s="282">
        <f>'Profit &amp; Loss'!F19</f>
        <v>2529.2000000000035</v>
      </c>
      <c r="G69" s="282">
        <f>'Profit &amp; Loss'!G19</f>
        <v>2867.2500000000014</v>
      </c>
      <c r="H69" s="282">
        <f>'Profit &amp; Loss'!H19</f>
        <v>3328.8199999999952</v>
      </c>
      <c r="I69" s="282">
        <f>'Profit &amp; Loss'!I19</f>
        <v>4434.8700000000008</v>
      </c>
      <c r="J69" s="282">
        <f>'Profit &amp; Loss'!J19</f>
        <v>4658.4600000000055</v>
      </c>
      <c r="K69" s="282">
        <f>'Profit &amp; Loss'!K19</f>
        <v>5244.1600000000017</v>
      </c>
    </row>
    <row r="70" spans="1:11" x14ac:dyDescent="0.35">
      <c r="A70" t="s">
        <v>173</v>
      </c>
      <c r="B70" s="282">
        <f>'Profit &amp; Loss'!B23</f>
        <v>1281.7600000000002</v>
      </c>
      <c r="C70" s="282">
        <f>'Profit &amp; Loss'!C23</f>
        <v>2231.8300000000013</v>
      </c>
      <c r="D70" s="282">
        <f>'Profit &amp; Loss'!D23</f>
        <v>1927.9000000000019</v>
      </c>
      <c r="E70" s="282">
        <f>'Profit &amp; Loss'!E23</f>
        <v>2378.1299999999992</v>
      </c>
      <c r="F70" s="282">
        <f>'Profit &amp; Loss'!F23</f>
        <v>2118.1600000000035</v>
      </c>
      <c r="G70" s="282">
        <f>'Profit &amp; Loss'!G23</f>
        <v>2109.0800000000013</v>
      </c>
      <c r="H70" s="282">
        <f>'Profit &amp; Loss'!H23</f>
        <v>2385.6399999999953</v>
      </c>
      <c r="I70" s="282">
        <f>'Profit &amp; Loss'!I23</f>
        <v>3160.1900000000005</v>
      </c>
      <c r="J70" s="282">
        <f>'Profit &amp; Loss'!J23</f>
        <v>3377.1200000000053</v>
      </c>
      <c r="K70" s="282">
        <f>'Profit &amp; Loss'!K23</f>
        <v>3697.3600000000015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Instructions</vt:lpstr>
      <vt:lpstr>Summary</vt:lpstr>
      <vt:lpstr>Checklist</vt:lpstr>
      <vt:lpstr>Balance Sheet</vt:lpstr>
      <vt:lpstr>Profit &amp; Loss</vt:lpstr>
      <vt:lpstr>Cash Flow</vt:lpstr>
      <vt:lpstr>Key Ratios</vt:lpstr>
      <vt:lpstr>Competitive Analysis</vt:lpstr>
      <vt:lpstr>Charts</vt:lpstr>
      <vt:lpstr>Data Sheet</vt:lpstr>
      <vt:lpstr>Common Size Analysis</vt:lpstr>
      <vt:lpstr>Dhandho IV</vt:lpstr>
      <vt:lpstr>Ben Graham Formula</vt:lpstr>
      <vt:lpstr>DCF</vt:lpstr>
      <vt:lpstr>Expected Returns</vt:lpstr>
      <vt:lpstr>Intrinsic Values</vt:lpstr>
      <vt:lpstr>Quarters</vt:lpstr>
      <vt:lpstr>Customization</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Vishal</cp:lastModifiedBy>
  <cp:lastPrinted>2012-12-06T18:14:13Z</cp:lastPrinted>
  <dcterms:created xsi:type="dcterms:W3CDTF">2012-08-17T09:55:37Z</dcterms:created>
  <dcterms:modified xsi:type="dcterms:W3CDTF">2019-03-18T06:14:59Z</dcterms:modified>
</cp:coreProperties>
</file>