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0" yWindow="180" windowWidth="20730" windowHeight="10095"/>
  </bookViews>
  <sheets>
    <sheet name="First Page" sheetId="22" r:id="rId1"/>
    <sheet name="Checklist" sheetId="20" r:id="rId2"/>
    <sheet name="Balance Sheet" sheetId="10" r:id="rId3"/>
    <sheet name="P &amp; L Account" sheetId="15" r:id="rId4"/>
    <sheet name="Cash Flow" sheetId="17" r:id="rId5"/>
    <sheet name="Ratios" sheetId="14" r:id="rId6"/>
    <sheet name="DCF" sheetId="2" r:id="rId7"/>
    <sheet name="Fair Value" sheetId="1" r:id="rId8"/>
    <sheet name="Expected Return Model" sheetId="23" r:id="rId9"/>
  </sheets>
  <externalReferences>
    <externalReference r:id="rId10"/>
  </externalReferences>
  <definedNames>
    <definedName name="discount">'[1]DCF Valuation'!$N$13:$N$16</definedName>
    <definedName name="Ticker">[1]Data!$A$2</definedName>
  </definedNames>
  <calcPr calcId="124519" iterateDelta="1E-4"/>
</workbook>
</file>

<file path=xl/calcChain.xml><?xml version="1.0" encoding="utf-8"?>
<calcChain xmlns="http://schemas.openxmlformats.org/spreadsheetml/2006/main">
  <c r="B13" i="23"/>
  <c r="B17" i="22" l="1"/>
  <c r="B12" i="2" l="1"/>
  <c r="B18" i="1"/>
  <c r="B13" i="2"/>
  <c r="K6" i="17"/>
  <c r="B5" i="2" s="1"/>
  <c r="J6" i="17"/>
  <c r="I6"/>
  <c r="H6"/>
  <c r="G6"/>
  <c r="F6"/>
  <c r="E6"/>
  <c r="D6"/>
  <c r="C6"/>
  <c r="B6"/>
  <c r="K21" i="10"/>
  <c r="K15" i="15" l="1"/>
  <c r="K9" i="14" l="1"/>
  <c r="K9" i="17"/>
  <c r="L4" i="15"/>
  <c r="B21" i="22" s="1"/>
  <c r="J33" i="14"/>
  <c r="F33"/>
  <c r="E33"/>
  <c r="D33"/>
  <c r="C33"/>
  <c r="B33"/>
  <c r="J9" i="17"/>
  <c r="I9"/>
  <c r="H9"/>
  <c r="G9"/>
  <c r="F9"/>
  <c r="E9"/>
  <c r="D9"/>
  <c r="C9"/>
  <c r="B9"/>
  <c r="K33" i="14"/>
  <c r="I33" l="1"/>
  <c r="G33"/>
  <c r="H33"/>
  <c r="J23" l="1"/>
  <c r="I23"/>
  <c r="H23"/>
  <c r="G23"/>
  <c r="F23"/>
  <c r="E23"/>
  <c r="D23"/>
  <c r="C23"/>
  <c r="B23"/>
  <c r="J22"/>
  <c r="I22"/>
  <c r="H22"/>
  <c r="G22"/>
  <c r="F22"/>
  <c r="E22"/>
  <c r="D22"/>
  <c r="C22"/>
  <c r="B22"/>
  <c r="J21"/>
  <c r="I21"/>
  <c r="H21"/>
  <c r="G21"/>
  <c r="F21"/>
  <c r="E21"/>
  <c r="D21"/>
  <c r="C21"/>
  <c r="B21"/>
  <c r="K23"/>
  <c r="K22"/>
  <c r="K21"/>
  <c r="K19" i="10" l="1"/>
  <c r="J19"/>
  <c r="I19"/>
  <c r="H19"/>
  <c r="G19"/>
  <c r="F19"/>
  <c r="E19"/>
  <c r="D19"/>
  <c r="C19"/>
  <c r="K25"/>
  <c r="J25"/>
  <c r="I25"/>
  <c r="H25"/>
  <c r="G25"/>
  <c r="F25"/>
  <c r="E25"/>
  <c r="D25"/>
  <c r="C25"/>
  <c r="B25"/>
  <c r="K12"/>
  <c r="J12"/>
  <c r="I12"/>
  <c r="H12"/>
  <c r="G12"/>
  <c r="F12"/>
  <c r="E12"/>
  <c r="D12"/>
  <c r="C12"/>
  <c r="B12"/>
  <c r="K18" i="14" l="1"/>
  <c r="K34"/>
  <c r="K35"/>
  <c r="J18"/>
  <c r="J35"/>
  <c r="J34"/>
  <c r="I35"/>
  <c r="I18"/>
  <c r="I34"/>
  <c r="H18"/>
  <c r="H35"/>
  <c r="H34"/>
  <c r="G35"/>
  <c r="G18"/>
  <c r="G34"/>
  <c r="F18"/>
  <c r="F35"/>
  <c r="F34"/>
  <c r="E35"/>
  <c r="E34"/>
  <c r="E18"/>
  <c r="D18"/>
  <c r="D35"/>
  <c r="D34"/>
  <c r="C35"/>
  <c r="C18"/>
  <c r="C34"/>
  <c r="B18"/>
  <c r="B35"/>
  <c r="B34"/>
  <c r="J26"/>
  <c r="I26"/>
  <c r="H26"/>
  <c r="G26"/>
  <c r="F26"/>
  <c r="E26"/>
  <c r="D26"/>
  <c r="C26"/>
  <c r="K26"/>
  <c r="K14" i="15"/>
  <c r="K16" l="1"/>
  <c r="K19" s="1"/>
  <c r="J9" i="14"/>
  <c r="J15" i="15"/>
  <c r="J14"/>
  <c r="J16" s="1"/>
  <c r="K10" i="14" l="1"/>
  <c r="K11"/>
  <c r="K22" i="15"/>
  <c r="I14"/>
  <c r="I16" s="1"/>
  <c r="J27" i="14" s="1"/>
  <c r="I15" i="15"/>
  <c r="J10" i="14"/>
  <c r="J19" i="15"/>
  <c r="J22" s="1"/>
  <c r="K36" i="14"/>
  <c r="H15" i="15"/>
  <c r="I9" i="14"/>
  <c r="K27"/>
  <c r="I19" i="15" l="1"/>
  <c r="J28" i="14" s="1"/>
  <c r="I10"/>
  <c r="K28"/>
  <c r="J24" i="15"/>
  <c r="J6" i="14"/>
  <c r="J16" s="1"/>
  <c r="J36"/>
  <c r="J11"/>
  <c r="K24" i="15"/>
  <c r="K27" s="1"/>
  <c r="K3" i="23" s="1"/>
  <c r="K6" i="14"/>
  <c r="G15" i="15"/>
  <c r="H9" i="14"/>
  <c r="H14" i="15"/>
  <c r="H16" s="1"/>
  <c r="K28" l="1"/>
  <c r="I36" i="14"/>
  <c r="I22" i="15"/>
  <c r="I24" s="1"/>
  <c r="J27"/>
  <c r="I11" i="14"/>
  <c r="K16"/>
  <c r="F15" i="15"/>
  <c r="G9" i="14"/>
  <c r="G14" i="15"/>
  <c r="G16" s="1"/>
  <c r="H10" i="14"/>
  <c r="I27"/>
  <c r="H19" i="15"/>
  <c r="H22" s="1"/>
  <c r="J28" l="1"/>
  <c r="J3" i="23"/>
  <c r="K4" i="14"/>
  <c r="K4" i="23"/>
  <c r="J12" i="14"/>
  <c r="J5" i="23" s="1"/>
  <c r="I27" i="15"/>
  <c r="I6" i="14"/>
  <c r="I16" s="1"/>
  <c r="K4" i="1"/>
  <c r="H27" i="14"/>
  <c r="I28"/>
  <c r="H36"/>
  <c r="H11"/>
  <c r="E15" i="15"/>
  <c r="F9" i="14"/>
  <c r="F14" i="15"/>
  <c r="F16" s="1"/>
  <c r="K12" i="14"/>
  <c r="K5" i="23" s="1"/>
  <c r="K29" i="14"/>
  <c r="G10"/>
  <c r="G19" i="15"/>
  <c r="G22" s="1"/>
  <c r="I28" l="1"/>
  <c r="I3" i="23"/>
  <c r="J4" i="14"/>
  <c r="J4" i="23"/>
  <c r="B10"/>
  <c r="B12" s="1"/>
  <c r="B14" s="1"/>
  <c r="J4" i="1"/>
  <c r="I12" i="14"/>
  <c r="I5" i="23" s="1"/>
  <c r="J7" i="1"/>
  <c r="J29" i="14"/>
  <c r="G27"/>
  <c r="G36"/>
  <c r="G11"/>
  <c r="F19" i="15"/>
  <c r="F22" s="1"/>
  <c r="F10" i="14"/>
  <c r="H24" i="15"/>
  <c r="H6" i="14"/>
  <c r="H16" s="1"/>
  <c r="D15" i="15"/>
  <c r="E9" i="14"/>
  <c r="E14" i="15"/>
  <c r="E16" s="1"/>
  <c r="H28" i="14"/>
  <c r="K7" i="10"/>
  <c r="I7"/>
  <c r="I5" i="14" s="1"/>
  <c r="H7" i="10"/>
  <c r="H5" i="14" s="1"/>
  <c r="G7" i="10"/>
  <c r="G5" i="14" s="1"/>
  <c r="F7" i="10"/>
  <c r="F5" i="14" s="1"/>
  <c r="E7" i="10"/>
  <c r="E5" i="14" s="1"/>
  <c r="D7" i="10"/>
  <c r="D5" i="14" s="1"/>
  <c r="B7" i="10"/>
  <c r="B5" i="14" s="1"/>
  <c r="C7" i="10"/>
  <c r="C5" i="14" s="1"/>
  <c r="J7" i="10"/>
  <c r="I4" i="14" l="1"/>
  <c r="I4" i="23"/>
  <c r="I4" i="1"/>
  <c r="K7"/>
  <c r="I15" i="14"/>
  <c r="I6" i="23" s="1"/>
  <c r="J5" i="14"/>
  <c r="J15"/>
  <c r="J6" i="23" s="1"/>
  <c r="K5" i="14"/>
  <c r="K15"/>
  <c r="K6" i="23" s="1"/>
  <c r="H27" i="15"/>
  <c r="K32" i="14"/>
  <c r="K17"/>
  <c r="C15" i="15"/>
  <c r="D9" i="14"/>
  <c r="D14" i="15"/>
  <c r="D16" s="1"/>
  <c r="G24"/>
  <c r="G6" i="14"/>
  <c r="G16" s="1"/>
  <c r="E19" i="15"/>
  <c r="E10" i="14"/>
  <c r="F36"/>
  <c r="F11"/>
  <c r="F27"/>
  <c r="G28"/>
  <c r="C32"/>
  <c r="D32"/>
  <c r="F32"/>
  <c r="H17"/>
  <c r="H32"/>
  <c r="B32"/>
  <c r="E32"/>
  <c r="G32"/>
  <c r="I17"/>
  <c r="I32"/>
  <c r="J17"/>
  <c r="J32"/>
  <c r="H28" i="15" l="1"/>
  <c r="H4" i="1" s="1"/>
  <c r="H3" i="23"/>
  <c r="B24" i="22"/>
  <c r="F28" i="14"/>
  <c r="E22" i="15"/>
  <c r="H15" i="14"/>
  <c r="H6" i="23" s="1"/>
  <c r="I7" i="1"/>
  <c r="G27" i="15"/>
  <c r="H12" i="14"/>
  <c r="H5" i="23" s="1"/>
  <c r="I29" i="14"/>
  <c r="G17"/>
  <c r="E27"/>
  <c r="B15" i="15"/>
  <c r="L15" s="1"/>
  <c r="B22" i="22" s="1"/>
  <c r="C9" i="14"/>
  <c r="C14" i="15"/>
  <c r="C16" s="1"/>
  <c r="D27" i="14" s="1"/>
  <c r="F24" i="15"/>
  <c r="F6" i="14"/>
  <c r="E36"/>
  <c r="E11"/>
  <c r="D19" i="15"/>
  <c r="D10" i="14"/>
  <c r="B32" i="2"/>
  <c r="C25"/>
  <c r="C24"/>
  <c r="C23"/>
  <c r="C22"/>
  <c r="C21"/>
  <c r="C20"/>
  <c r="C19"/>
  <c r="C18"/>
  <c r="C17"/>
  <c r="C16"/>
  <c r="B16" s="1"/>
  <c r="D16" s="1"/>
  <c r="H4" i="14" l="1"/>
  <c r="H4" i="23"/>
  <c r="G28" i="15"/>
  <c r="G3" i="23"/>
  <c r="G12" i="14"/>
  <c r="G5" i="23" s="1"/>
  <c r="H29" i="14"/>
  <c r="H7" i="1"/>
  <c r="E28" i="14"/>
  <c r="D22" i="15"/>
  <c r="G15" i="14"/>
  <c r="G6" i="23" s="1"/>
  <c r="G4" i="1"/>
  <c r="F27" i="15"/>
  <c r="F16" i="14"/>
  <c r="F17"/>
  <c r="B9"/>
  <c r="B14" i="15"/>
  <c r="D11" i="14"/>
  <c r="D36"/>
  <c r="E6"/>
  <c r="E24" i="15"/>
  <c r="C10" i="14"/>
  <c r="C19" i="15"/>
  <c r="C22" s="1"/>
  <c r="B17" i="2"/>
  <c r="D17" s="1"/>
  <c r="G4" i="14" l="1"/>
  <c r="G4" i="23"/>
  <c r="F28" i="15"/>
  <c r="F4" i="1" s="1"/>
  <c r="F3" i="23"/>
  <c r="M3" s="1"/>
  <c r="B16" i="15"/>
  <c r="L16" s="1"/>
  <c r="L14"/>
  <c r="F12" i="14"/>
  <c r="F5" i="23" s="1"/>
  <c r="G7" i="1"/>
  <c r="F15" i="14"/>
  <c r="F6" i="23" s="1"/>
  <c r="E27" i="15"/>
  <c r="G29" i="14"/>
  <c r="C36"/>
  <c r="C11"/>
  <c r="E16"/>
  <c r="E17"/>
  <c r="D28"/>
  <c r="D24" i="15"/>
  <c r="D6" i="14"/>
  <c r="B18" i="2"/>
  <c r="D18" s="1"/>
  <c r="E28" i="15" l="1"/>
  <c r="E3" i="23"/>
  <c r="F4" i="14"/>
  <c r="F4" i="23"/>
  <c r="M4" s="1"/>
  <c r="B19" i="15"/>
  <c r="C28" i="14" s="1"/>
  <c r="C27"/>
  <c r="B10"/>
  <c r="F7" i="1"/>
  <c r="E15" i="14"/>
  <c r="E6" i="23" s="1"/>
  <c r="D27" i="15"/>
  <c r="F29" i="14"/>
  <c r="E12"/>
  <c r="E5" i="23" s="1"/>
  <c r="C6" i="14"/>
  <c r="C24" i="15"/>
  <c r="D16" i="14"/>
  <c r="D17"/>
  <c r="B19" i="2"/>
  <c r="D19" s="1"/>
  <c r="D28" i="15" l="1"/>
  <c r="D3" i="23"/>
  <c r="E4" i="14"/>
  <c r="E4" i="23"/>
  <c r="E4" i="1"/>
  <c r="B36" i="14"/>
  <c r="B22" i="15"/>
  <c r="B6" i="14" s="1"/>
  <c r="D12"/>
  <c r="D5" i="23" s="1"/>
  <c r="L19" i="15"/>
  <c r="B11" i="14"/>
  <c r="D15"/>
  <c r="D6" i="23" s="1"/>
  <c r="E7" i="1"/>
  <c r="D4"/>
  <c r="C27" i="15"/>
  <c r="E29" i="14"/>
  <c r="L22" i="15"/>
  <c r="C16" i="14"/>
  <c r="C17"/>
  <c r="B20" i="2"/>
  <c r="D20" s="1"/>
  <c r="D4" i="14" l="1"/>
  <c r="D4" i="23"/>
  <c r="C28" i="15"/>
  <c r="C4" i="1" s="1"/>
  <c r="C3" i="23"/>
  <c r="B24" i="15"/>
  <c r="B27" s="1"/>
  <c r="D29" i="14"/>
  <c r="D7" i="1"/>
  <c r="B15" i="14"/>
  <c r="B6" i="23" s="1"/>
  <c r="C15" i="14"/>
  <c r="C6" i="23" s="1"/>
  <c r="C12" i="14"/>
  <c r="C5" i="23" s="1"/>
  <c r="B17" i="14"/>
  <c r="B16"/>
  <c r="B21" i="2"/>
  <c r="D21" s="1"/>
  <c r="B28" i="15" l="1"/>
  <c r="B4" i="1" s="1"/>
  <c r="B3" i="23"/>
  <c r="L3" s="1"/>
  <c r="C4" i="14"/>
  <c r="C4" i="23"/>
  <c r="B25" i="22"/>
  <c r="L24" i="15"/>
  <c r="C7" i="1"/>
  <c r="L27" i="15"/>
  <c r="B23" i="22" s="1"/>
  <c r="B12" i="14"/>
  <c r="B5" i="23" s="1"/>
  <c r="C29" i="14"/>
  <c r="B22" i="2"/>
  <c r="D22" s="1"/>
  <c r="B4" i="14" l="1"/>
  <c r="B4" i="23"/>
  <c r="L4" s="1"/>
  <c r="B23" i="2"/>
  <c r="D23" s="1"/>
  <c r="B7" i="1" l="1"/>
  <c r="B10" s="1"/>
  <c r="B24" i="2"/>
  <c r="D24" s="1"/>
  <c r="B25" l="1"/>
  <c r="D25" s="1"/>
  <c r="B29" l="1"/>
  <c r="B28"/>
  <c r="B30" s="1"/>
  <c r="B31" l="1"/>
  <c r="B33" s="1"/>
  <c r="B11" i="1" s="1"/>
  <c r="B15" s="1"/>
  <c r="B19" i="10" l="1"/>
  <c r="B14" i="1" l="1"/>
  <c r="B17" s="1"/>
  <c r="B19" l="1"/>
</calcChain>
</file>

<file path=xl/comments1.xml><?xml version="1.0" encoding="utf-8"?>
<comments xmlns="http://schemas.openxmlformats.org/spreadsheetml/2006/main">
  <authors>
    <author>Safal Niveshak</author>
  </authors>
  <commentList>
    <comment ref="A13" authorId="0">
      <text>
        <r>
          <rPr>
            <b/>
            <sz val="9"/>
            <color indexed="81"/>
            <rFont val="Tahoma"/>
            <family val="2"/>
          </rPr>
          <t xml:space="preserve">Safal Niveshak: </t>
        </r>
        <r>
          <rPr>
            <sz val="9"/>
            <color indexed="81"/>
            <rFont val="Tahoma"/>
            <family val="2"/>
          </rPr>
          <t xml:space="preserve">Don't go beyond this sheet if you don't understand the business.
</t>
        </r>
      </text>
    </comment>
  </commentList>
</comments>
</file>

<file path=xl/comments2.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3.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4.xml><?xml version="1.0" encoding="utf-8"?>
<comments xmlns="http://schemas.openxmlformats.org/spreadsheetml/2006/main">
  <authors>
    <author>Vishal</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List>
</comments>
</file>

<file path=xl/comments5.xml><?xml version="1.0" encoding="utf-8"?>
<comments xmlns="http://schemas.openxmlformats.org/spreadsheetml/2006/main">
  <authors>
    <author>Safal Niveshak</author>
    <author>Vishal</author>
  </authors>
  <commentList>
    <comment ref="A4" authorId="0">
      <text>
        <r>
          <rPr>
            <b/>
            <sz val="9"/>
            <color indexed="81"/>
            <rFont val="Tahoma"/>
            <family val="2"/>
          </rPr>
          <t xml:space="preserve">Safal Niveshak: </t>
        </r>
        <r>
          <rPr>
            <sz val="9"/>
            <color indexed="81"/>
            <rFont val="Tahoma"/>
            <family val="2"/>
          </rPr>
          <t>"Diluted" means using the latest number of shares that reflects all bonus, stock splits, and new stock issuances of the past.</t>
        </r>
      </text>
    </comment>
    <comment ref="A9" authorId="0">
      <text>
        <r>
          <rPr>
            <b/>
            <sz val="9"/>
            <color indexed="81"/>
            <rFont val="Tahoma"/>
            <family val="2"/>
          </rPr>
          <t xml:space="preserve">Safal Niveshak: </t>
        </r>
        <r>
          <rPr>
            <sz val="9"/>
            <color indexed="81"/>
            <rFont val="Tahoma"/>
            <family val="2"/>
          </rPr>
          <t>Gross profit margin represents the percent of total sales that the company retains after incurring the direct costs associated with producing the goods and services sold. The higher the percentage, the more the company retains on each rupee of sales to service its other costs and obligations.</t>
        </r>
        <r>
          <rPr>
            <b/>
            <sz val="9"/>
            <color indexed="81"/>
            <rFont val="Tahoma"/>
            <family val="2"/>
          </rPr>
          <t xml:space="preserve">
Gross Margin = (Total Sales - Cost of Goods Sold) / Total Sales
</t>
        </r>
        <r>
          <rPr>
            <sz val="9"/>
            <color indexed="81"/>
            <rFont val="Tahoma"/>
            <family val="2"/>
          </rPr>
          <t>For a company, the purpose of gross margins is to determine the value of incremental sales, and to guide pricing and promotion decision. For investors, higher gross margins vis-a-vis competitors means the company has pricing power, which indicates moat.</t>
        </r>
      </text>
    </comment>
    <comment ref="A10" authorId="1">
      <text>
        <r>
          <rPr>
            <b/>
            <sz val="9"/>
            <color indexed="81"/>
            <rFont val="Tahoma"/>
            <charset val="1"/>
          </rPr>
          <t xml:space="preserve">Safal Niveshak: </t>
        </r>
        <r>
          <rPr>
            <sz val="9"/>
            <color indexed="81"/>
            <rFont val="Tahoma"/>
            <family val="2"/>
          </rPr>
          <t xml:space="preserve">EBITDA stands for "Earnings Before Interest, Tax, Depreciation &amp; Amortization. EBITDA margins is also known as "Operating Margin" and measures a company's operating profitability - how must profits a company earns after paying off its operational costs and before providing for depreciation and paying interest and tax. It's good to compare this number within the industry.
</t>
        </r>
      </text>
    </comment>
    <comment ref="A12" authorId="1">
      <text>
        <r>
          <rPr>
            <b/>
            <sz val="9"/>
            <color indexed="81"/>
            <rFont val="Tahoma"/>
            <family val="2"/>
          </rPr>
          <t>Safal Niveshak: Net Profit Margin = Net profit / Sales</t>
        </r>
        <r>
          <rPr>
            <sz val="9"/>
            <color indexed="81"/>
            <rFont val="Tahoma"/>
            <family val="2"/>
          </rPr>
          <t xml:space="preserve">
It measures how much out of every dollar of sales a company actually keeps in earnings.
NPM is very useful when comparing companies in similar industries. A higher profit margin indicates a more profitable company that has better control over its costs compared to its competitors.</t>
        </r>
      </text>
    </comment>
    <comment ref="A16" authorId="1">
      <text>
        <r>
          <rPr>
            <b/>
            <sz val="9"/>
            <color indexed="81"/>
            <rFont val="Tahoma"/>
            <family val="2"/>
          </rPr>
          <t xml:space="preserve">Safal Niveshak:
ROCE  =NOPAT / Capital Employed
</t>
        </r>
        <r>
          <rPr>
            <i/>
            <sz val="9"/>
            <color indexed="81"/>
            <rFont val="Tahoma"/>
            <family val="2"/>
          </rPr>
          <t>NOPAT = EBIT * (1-Tax)
Capital Employed = Fixed Assets + Working Capital</t>
        </r>
      </text>
    </comment>
    <comment ref="A17" authorId="1">
      <text>
        <r>
          <rPr>
            <b/>
            <sz val="9"/>
            <color indexed="81"/>
            <rFont val="Tahoma"/>
            <family val="2"/>
          </rPr>
          <t xml:space="preserve">Safal Niveshak: </t>
        </r>
        <r>
          <rPr>
            <sz val="9"/>
            <color indexed="81"/>
            <rFont val="Tahoma"/>
            <family val="2"/>
          </rPr>
          <t>ROIC is used to assess a company's efficiency at allocating the capital under its control to profitable investments. It gives a sense of how well a company is using its money to generate returns.</t>
        </r>
      </text>
    </comment>
    <comment ref="A18" authorId="1">
      <text>
        <r>
          <rPr>
            <b/>
            <sz val="9"/>
            <color indexed="81"/>
            <rFont val="Tahoma"/>
            <family val="2"/>
          </rPr>
          <t xml:space="preserve">Safal Niveshak: </t>
        </r>
        <r>
          <rPr>
            <sz val="9"/>
            <color indexed="81"/>
            <rFont val="Tahoma"/>
            <family val="2"/>
          </rPr>
          <t>Also known as "Working Capital Turnover Ratio", it measures how much of sales is generated for every rupee of working capital employed. This provides some useful information as to how effectively a company is using its working capital to generate sales.
Working Cap. Turnover = Working Capital / Sales
Working Capital = Current Assets / Current Liabilities
In general, the higher the working capital turnover, the better because it means that the company is generating a lot of sales compared to the money it uses to fund the sales.</t>
        </r>
      </text>
    </comment>
    <comment ref="A21" authorId="1">
      <text>
        <r>
          <rPr>
            <b/>
            <sz val="9"/>
            <color indexed="81"/>
            <rFont val="Tahoma"/>
            <family val="2"/>
          </rPr>
          <t xml:space="preserve">Safal Niveshak: </t>
        </r>
        <r>
          <rPr>
            <sz val="9"/>
            <color indexed="81"/>
            <rFont val="Tahoma"/>
            <family val="2"/>
          </rPr>
          <t xml:space="preserve">It is also known as DSO or Days Sales Outstanding, and measures the average number of days a company takes to collect money after a sale has been made. Here's a simple formula...
</t>
        </r>
        <r>
          <rPr>
            <b/>
            <sz val="9"/>
            <color indexed="81"/>
            <rFont val="Tahoma"/>
            <family val="2"/>
          </rPr>
          <t xml:space="preserve">DSO = (Trade Receivables / Sales) x 365
</t>
        </r>
        <r>
          <rPr>
            <sz val="9"/>
            <color indexed="81"/>
            <rFont val="Tahoma"/>
            <family val="2"/>
          </rPr>
          <t xml:space="preserve">
A low DSO number means that it takes a company fewer days to collect its trade receivable. A high DSO number shows that a company is selling its product to customers on credit and taking longer to collect money. 
Due to the high importance of cash in running a business, it is in a company's best interest to collect outstanding receivables as quickly as possible. By quickly turning sales into cash, a company has the chance to put the cash to use again - ideally, to reinvest and make more sales. The DSO can be used to determine whether a company is trying to disguise weak sales, or is generally being ineffective at bringing money in.</t>
        </r>
      </text>
    </comment>
    <comment ref="A22" authorId="1">
      <text>
        <r>
          <rPr>
            <b/>
            <sz val="9"/>
            <color indexed="81"/>
            <rFont val="Tahoma"/>
            <family val="2"/>
          </rPr>
          <t xml:space="preserve">Safal Niveshak: </t>
        </r>
        <r>
          <rPr>
            <sz val="9"/>
            <color indexed="81"/>
            <rFont val="Tahoma"/>
            <family val="2"/>
          </rPr>
          <t xml:space="preserve">Also known as "Days Sales of Inventory" or DSI, it measures how long it takes a company to turn its inventory (including goods that are work in progress, if applicable) into sales. Generally, the lower the DSI the better, but it is important to note that the average DSI varies from one industry to another.
</t>
        </r>
        <r>
          <rPr>
            <b/>
            <sz val="9"/>
            <color indexed="81"/>
            <rFont val="Tahoma"/>
            <family val="2"/>
          </rPr>
          <t xml:space="preserve">DSI = (Inventories / Sales) x 365
</t>
        </r>
        <r>
          <rPr>
            <sz val="9"/>
            <color indexed="81"/>
            <rFont val="Tahoma"/>
            <family val="2"/>
          </rPr>
          <t xml:space="preserve">
DSI basically represents the process of turning raw materials or finished goods into cash.</t>
        </r>
      </text>
    </comment>
    <comment ref="A23" authorId="1">
      <text>
        <r>
          <rPr>
            <b/>
            <sz val="9"/>
            <color indexed="81"/>
            <rFont val="Tahoma"/>
            <family val="2"/>
          </rPr>
          <t xml:space="preserve">Safal Niveshak: </t>
        </r>
        <r>
          <rPr>
            <sz val="9"/>
            <color indexed="81"/>
            <rFont val="Tahoma"/>
            <family val="2"/>
          </rPr>
          <t>It is also known as "Days Payable Outstanding" or DPO, and is an indicator of how long a company is taking to pay its trade creditors. The formula is…</t>
        </r>
        <r>
          <rPr>
            <b/>
            <sz val="9"/>
            <color indexed="81"/>
            <rFont val="Tahoma"/>
            <family val="2"/>
          </rPr>
          <t xml:space="preserve">
DPO = (Trade Payables / Sales) x 365</t>
        </r>
      </text>
    </comment>
    <comment ref="A34" authorId="1">
      <text>
        <r>
          <rPr>
            <b/>
            <sz val="9"/>
            <color indexed="81"/>
            <rFont val="Tahoma"/>
            <family val="2"/>
          </rPr>
          <t xml:space="preserve">Safal Niveshak: </t>
        </r>
        <r>
          <rPr>
            <sz val="9"/>
            <color indexed="81"/>
            <rFont val="Tahoma"/>
            <family val="2"/>
          </rPr>
          <t>Current Ratio measures the</t>
        </r>
        <r>
          <rPr>
            <b/>
            <sz val="9"/>
            <color indexed="81"/>
            <rFont val="Tahoma"/>
            <family val="2"/>
          </rPr>
          <t xml:space="preserve"> </t>
        </r>
        <r>
          <rPr>
            <sz val="9"/>
            <color indexed="81"/>
            <rFont val="Tahoma"/>
            <family val="2"/>
          </rPr>
          <t xml:space="preserve">liquidity of a company, or its ability to pay short-term obligations. 
</t>
        </r>
        <r>
          <rPr>
            <b/>
            <sz val="9"/>
            <color indexed="81"/>
            <rFont val="Tahoma"/>
            <family val="2"/>
          </rPr>
          <t>Current Ratio = Current Assets / Current Liabilities</t>
        </r>
        <r>
          <rPr>
            <sz val="9"/>
            <color indexed="81"/>
            <rFont val="Tahoma"/>
            <family val="2"/>
          </rPr>
          <t xml:space="preserve">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r>
      </text>
    </comment>
    <comment ref="A35" authorId="1">
      <text>
        <r>
          <rPr>
            <b/>
            <sz val="9"/>
            <color indexed="81"/>
            <rFont val="Tahoma"/>
            <family val="2"/>
          </rPr>
          <t>Safal Niveshak:</t>
        </r>
        <r>
          <rPr>
            <sz val="9"/>
            <color indexed="81"/>
            <rFont val="Tahoma"/>
            <family val="2"/>
          </rPr>
          <t xml:space="preserve"> Also known as "Acid Test Ratio", it is an indicator of a company's short-term liquidity. The quick ratio measures a company's ability to meet its short-term obligations with its most liquid assets. The higher the quick ratio, the better the position of the company.
</t>
        </r>
        <r>
          <rPr>
            <b/>
            <sz val="9"/>
            <color indexed="81"/>
            <rFont val="Tahoma"/>
            <family val="2"/>
          </rPr>
          <t xml:space="preserve">Quick Ratio = (Current Assets - Inventories) / Current Liabilities 
</t>
        </r>
        <r>
          <rPr>
            <sz val="9"/>
            <color indexed="81"/>
            <rFont val="Tahoma"/>
            <family val="2"/>
          </rPr>
          <t xml:space="preserve">
The quick ratio is a more conservative metric than current ratio because it excludes inventory from current assets. Inventory is excluded because some companies have difficulty turning their inventory into cash. In the event that short-term obligations need to be paid off immediately, there are situations in which the current ratio would overestimate a company's short-term financial strength.</t>
        </r>
      </text>
    </comment>
    <comment ref="A36" authorId="1">
      <text>
        <r>
          <rPr>
            <b/>
            <sz val="9"/>
            <color indexed="81"/>
            <rFont val="Tahoma"/>
            <family val="2"/>
          </rPr>
          <t>Safal Niveshak:</t>
        </r>
        <r>
          <rPr>
            <sz val="9"/>
            <color indexed="81"/>
            <rFont val="Tahoma"/>
            <family val="2"/>
          </rPr>
          <t xml:space="preserve"> This ratio determines how easily a company can pay interest on its outstanding debt.
</t>
        </r>
        <r>
          <rPr>
            <b/>
            <sz val="9"/>
            <color indexed="81"/>
            <rFont val="Tahoma"/>
            <family val="2"/>
          </rPr>
          <t xml:space="preserve">Interest Coverage Ratio = Earnings before interest and taxes or EBIT  / Interest expenses
</t>
        </r>
        <r>
          <rPr>
            <sz val="9"/>
            <color indexed="81"/>
            <rFont val="Tahoma"/>
            <family val="2"/>
          </rPr>
          <t xml:space="preserve">
The lower the ratio, the more the company is burdened by debt expense. When a company's interest coverage ratio is 1.5 or lower, its ability to meet interest expenses may be questionable. An interest coverage ratio below 1 indicates the company is not generating sufficient revenues to satisfy interest expenses.</t>
        </r>
      </text>
    </comment>
  </commentList>
</comments>
</file>

<file path=xl/comments6.xml><?xml version="1.0" encoding="utf-8"?>
<comments xmlns="http://schemas.openxmlformats.org/spreadsheetml/2006/main">
  <authors>
    <author>Vishal</author>
    <author>Safal Niveshak</author>
  </authors>
  <commentList>
    <comment ref="A5" authorId="0">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t>
        </r>
      </text>
    </comment>
    <comment ref="A7" author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8" author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9" author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10" author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3" authorId="1">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7.xml><?xml version="1.0" encoding="utf-8"?>
<comments xmlns="http://schemas.openxmlformats.org/spreadsheetml/2006/main">
  <authors>
    <author>Vishal</author>
    <author>Safal Niveshak</author>
  </authors>
  <commentList>
    <comment ref="A3" authorId="0">
      <text>
        <r>
          <rPr>
            <b/>
            <sz val="9"/>
            <color indexed="81"/>
            <rFont val="Tahoma"/>
            <family val="2"/>
          </rPr>
          <t xml:space="preserve">Safal Niveshak:
</t>
        </r>
        <r>
          <rPr>
            <sz val="9"/>
            <color indexed="81"/>
            <rFont val="Tahoma"/>
            <family val="2"/>
          </rPr>
          <t>L = Latest Year
L-1 = Previous year
…and so on</t>
        </r>
      </text>
    </comment>
    <comment ref="A16" authorId="0">
      <text>
        <r>
          <rPr>
            <b/>
            <sz val="9"/>
            <color indexed="81"/>
            <rFont val="Tahoma"/>
            <family val="2"/>
          </rPr>
          <t xml:space="preserve">Safal Niveshak: </t>
        </r>
        <r>
          <rPr>
            <sz val="9"/>
            <color indexed="81"/>
            <rFont val="Tahoma"/>
            <family val="2"/>
          </rPr>
          <t>Valuation is an imprecise art (yes, however smart you may think you are!). Also, the future is inherently unpredictable.
Thus, it’s important to bring in the most-important investing concept of “margin of safety” into the picture.
This is what Graham wrote about margin of safety in The Intelligent Investor…
"</t>
        </r>
        <r>
          <rPr>
            <i/>
            <sz val="9"/>
            <color indexed="81"/>
            <rFont val="Tahoma"/>
            <family val="2"/>
          </rPr>
          <t xml:space="preserve">Confronted with the challenge to distill the secret of sound investment into three words, we venture the motto, MARGIN OF SAFETY."
</t>
        </r>
        <r>
          <rPr>
            <sz val="9"/>
            <color indexed="81"/>
            <rFont val="Tahoma"/>
            <family val="2"/>
          </rPr>
          <t xml:space="preserve">
Margin of safety is simply the discount factor that you use with your intrinsic value calculation. So if you arrive at an intrinsic value of Rs 100 for a stock that trades at Rs 80, you might think that you have found a bargain.
But what if your intrinsic value calculation is wrong? Yes, it will be wrong, at least 100% of the times!
Thus, you will do yourself a world of good by buying the stock only at say 50% discount to your intrinsic value calculation, or around Rs 50.
Now when you bring your intrinsic value assumption down to Rs 50 – by giving a 50% discount to the original calculated value of Rs 100, don’t think that you are trying to be ultra-conservative.
What you are doing is providing yourself protection against:
1. Bad luck
2. Bad timing, and
3. Bad judgment.
Margin of safety was, and will always be, the bedrock of value investing. You can’t ignore this at any cost…or it will turn out to be a costly affair!</t>
        </r>
      </text>
    </comment>
    <comment ref="A17" authorId="1">
      <text>
        <r>
          <rPr>
            <b/>
            <sz val="9"/>
            <color indexed="81"/>
            <rFont val="Tahoma"/>
            <family val="2"/>
          </rPr>
          <t xml:space="preserve">Safal Niveshak: </t>
        </r>
        <r>
          <rPr>
            <sz val="9"/>
            <color indexed="81"/>
            <rFont val="Tahoma"/>
            <family val="2"/>
          </rPr>
          <t xml:space="preserve">This is the fair value or comfortable buying price of the stock after adjusting for Margin of Safety.
</t>
        </r>
      </text>
    </comment>
    <comment ref="A19" authorId="0">
      <text>
        <r>
          <rPr>
            <b/>
            <sz val="9"/>
            <color indexed="81"/>
            <rFont val="Tahoma"/>
            <family val="2"/>
          </rPr>
          <t xml:space="preserve">Safal Niveshak: </t>
        </r>
        <r>
          <rPr>
            <sz val="9"/>
            <color indexed="81"/>
            <rFont val="Tahoma"/>
            <family val="2"/>
          </rPr>
          <t xml:space="preserve">Here are the definitions...
</t>
        </r>
        <r>
          <rPr>
            <b/>
            <sz val="9"/>
            <color indexed="81"/>
            <rFont val="Tahoma"/>
            <family val="2"/>
          </rPr>
          <t>Premium =</t>
        </r>
        <r>
          <rPr>
            <sz val="9"/>
            <color indexed="81"/>
            <rFont val="Tahoma"/>
            <family val="2"/>
          </rPr>
          <t xml:space="preserve"> Stock Price is more than the Fair Value, which means the stock is expensive.
</t>
        </r>
        <r>
          <rPr>
            <b/>
            <sz val="9"/>
            <color indexed="81"/>
            <rFont val="Tahoma"/>
            <family val="2"/>
          </rPr>
          <t>Discount =</t>
        </r>
        <r>
          <rPr>
            <sz val="9"/>
            <color indexed="81"/>
            <rFont val="Tahoma"/>
            <family val="2"/>
          </rPr>
          <t xml:space="preserve"> Stock Price is less than the Fair Value, which means the stock is cheap.
</t>
        </r>
        <r>
          <rPr>
            <b/>
            <sz val="9"/>
            <color indexed="81"/>
            <rFont val="Tahoma"/>
            <family val="2"/>
          </rPr>
          <t>Warning:</t>
        </r>
        <r>
          <rPr>
            <sz val="9"/>
            <color indexed="81"/>
            <rFont val="Tahoma"/>
            <family val="2"/>
          </rPr>
          <t xml:space="preserve"> Valuation must only be looked after assessing the quality of a business. Otherwise, if the business is bad, or getting bad, a cheap stock can be a "value trap".</t>
        </r>
      </text>
    </comment>
  </commentList>
</comments>
</file>

<file path=xl/sharedStrings.xml><?xml version="1.0" encoding="utf-8"?>
<sst xmlns="http://schemas.openxmlformats.org/spreadsheetml/2006/main" count="323" uniqueCount="214">
  <si>
    <t>1-5</t>
  </si>
  <si>
    <t>6-10</t>
  </si>
  <si>
    <t>Year</t>
  </si>
  <si>
    <t>Growth</t>
  </si>
  <si>
    <t>Terminal Year</t>
  </si>
  <si>
    <t>DCF</t>
  </si>
  <si>
    <t>High End</t>
  </si>
  <si>
    <t>Low End</t>
  </si>
  <si>
    <t>Avg P/E Ratio Valuation</t>
  </si>
  <si>
    <t>Share Capital</t>
  </si>
  <si>
    <t>Minority Interest</t>
  </si>
  <si>
    <t>Inventories</t>
  </si>
  <si>
    <t>Other Current Assets</t>
  </si>
  <si>
    <t>Current Liabilities</t>
  </si>
  <si>
    <t>Shareholder's Funds / Equity</t>
  </si>
  <si>
    <t>Inventory Days</t>
  </si>
  <si>
    <t>L-4</t>
  </si>
  <si>
    <t>L-3</t>
  </si>
  <si>
    <t>L-2</t>
  </si>
  <si>
    <t>L-1</t>
  </si>
  <si>
    <t>L</t>
  </si>
  <si>
    <t>Years</t>
  </si>
  <si>
    <t>L-8</t>
  </si>
  <si>
    <t>L-9</t>
  </si>
  <si>
    <t>L-7</t>
  </si>
  <si>
    <t>L-6</t>
  </si>
  <si>
    <t>L-5</t>
  </si>
  <si>
    <t>Fair Value after MoS</t>
  </si>
  <si>
    <t>Fair Value Range (Rs/Share)</t>
  </si>
  <si>
    <t>Margin of Safety (MoS)</t>
  </si>
  <si>
    <t>Current Mkt. Price (CMP, Rs)</t>
  </si>
  <si>
    <t>Premium / (Discount)</t>
  </si>
  <si>
    <t>Number of Shares</t>
  </si>
  <si>
    <t>Total PV of Cash Flows</t>
  </si>
  <si>
    <t>Terminal Value</t>
  </si>
  <si>
    <t>PV of Year 1-10 Cash Flows</t>
  </si>
  <si>
    <t>FCF</t>
  </si>
  <si>
    <t>Present Value</t>
  </si>
  <si>
    <t>Final Calculations</t>
  </si>
  <si>
    <t>Initial Cash Flow</t>
  </si>
  <si>
    <t>FCF Growth Rate</t>
  </si>
  <si>
    <t>Discount Rate</t>
  </si>
  <si>
    <t>Terminal Growth Rate</t>
  </si>
  <si>
    <t>Net Debt Level</t>
  </si>
  <si>
    <t>DCF Value / Share (Rs)</t>
  </si>
  <si>
    <t>High P/E (x)</t>
  </si>
  <si>
    <t>Low P/E (x)</t>
  </si>
  <si>
    <t>Average P/E (x)</t>
  </si>
  <si>
    <t>Valuation - Different Methods (Rs)</t>
  </si>
  <si>
    <t>Operational &amp; Financial Ratios</t>
  </si>
  <si>
    <t>Performance Ratios</t>
  </si>
  <si>
    <t>Efficiency Ratios</t>
  </si>
  <si>
    <t>Financial Stability Ratios</t>
  </si>
  <si>
    <t>Profitability Ratios</t>
  </si>
  <si>
    <t>Total Debt/Equity (x)</t>
  </si>
  <si>
    <t>Current Ratio (x)</t>
  </si>
  <si>
    <t>Quick Ratio (x)</t>
  </si>
  <si>
    <t>Interest Cover (x)</t>
  </si>
  <si>
    <t>Tax Rate (%)</t>
  </si>
  <si>
    <t>EBITDA Margin (%)</t>
  </si>
  <si>
    <t>EBIT Margin (%)</t>
  </si>
  <si>
    <t>Net Profit Margin (%)</t>
  </si>
  <si>
    <t>Return on Equity (%)</t>
  </si>
  <si>
    <t>Return on Capital Employed (%)</t>
  </si>
  <si>
    <t>Return on Invested Capital (%)</t>
  </si>
  <si>
    <t>Sales/Working Capital (x)</t>
  </si>
  <si>
    <t>Receivable Days</t>
  </si>
  <si>
    <t>Payable Days</t>
  </si>
  <si>
    <t>Net Sales Growth (%)</t>
  </si>
  <si>
    <t>EBITDA Growth (%)</t>
  </si>
  <si>
    <t>PAT Growth (%)</t>
  </si>
  <si>
    <t>Net Sales</t>
  </si>
  <si>
    <t>Increase/Decrease in Stock</t>
  </si>
  <si>
    <t>Raw Material Consumed</t>
  </si>
  <si>
    <t>Employee Cost</t>
  </si>
  <si>
    <t>Other Manufacturing Expenses</t>
  </si>
  <si>
    <t>General and Administration Expenses</t>
  </si>
  <si>
    <t>Selling and Distribution Expenses</t>
  </si>
  <si>
    <t>Miscellaneous Expenses</t>
  </si>
  <si>
    <t>Total Expenditure</t>
  </si>
  <si>
    <t>Other Income</t>
  </si>
  <si>
    <t>Interest</t>
  </si>
  <si>
    <t>Depreciation</t>
  </si>
  <si>
    <t>Exceptional Income / Expenses</t>
  </si>
  <si>
    <t>Profit Before Tax</t>
  </si>
  <si>
    <t>Provision for Tax</t>
  </si>
  <si>
    <t>Profit After Tax</t>
  </si>
  <si>
    <t>Share of Associate</t>
  </si>
  <si>
    <t>Expenditure</t>
  </si>
  <si>
    <t>Operating Profit / EBITDA</t>
  </si>
  <si>
    <t>Profit Before Interest &amp; Tax (PBIT)</t>
  </si>
  <si>
    <t>PBIT Growth (%)</t>
  </si>
  <si>
    <t>Debt Burden (x)</t>
  </si>
  <si>
    <t>Reserves &amp; Surplus</t>
  </si>
  <si>
    <t>Non-Current Liabilities</t>
  </si>
  <si>
    <t>Long-Term Borrowings</t>
  </si>
  <si>
    <t>Trade Payables</t>
  </si>
  <si>
    <t>SOURCES OF FUNDS / EQUITY &amp; LIABILITIES</t>
  </si>
  <si>
    <t>APPLICATION OF FUNDS / ASSETS</t>
  </si>
  <si>
    <t>Short-Term Borrowings</t>
  </si>
  <si>
    <t>Non-Current Assets</t>
  </si>
  <si>
    <t>Tangible Assets</t>
  </si>
  <si>
    <t>Intangible Assets</t>
  </si>
  <si>
    <t>Non-Current Investments</t>
  </si>
  <si>
    <t>Current Assets</t>
  </si>
  <si>
    <t>Current Investments</t>
  </si>
  <si>
    <t>Trade Receivables</t>
  </si>
  <si>
    <t>Short-Term Provisions</t>
  </si>
  <si>
    <t>Other Current Liabilities</t>
  </si>
  <si>
    <t>Short-Term Loans and Advances</t>
  </si>
  <si>
    <t>Cash and Bank Balance</t>
  </si>
  <si>
    <t>Net cash (used in) / generated from operating activities</t>
  </si>
  <si>
    <t>Payment for purchase of fixed assets</t>
  </si>
  <si>
    <t>Net cash (used in) / generated from investing activities</t>
  </si>
  <si>
    <t>Net cash (used in) / generated from financing activities</t>
  </si>
  <si>
    <t>Net increase in cash and cash equivalents</t>
  </si>
  <si>
    <t>Free Cash Flow</t>
  </si>
  <si>
    <t>Shares Outstanding (Crore)</t>
  </si>
  <si>
    <t>CAGR</t>
  </si>
  <si>
    <t>Gross Margin (%)</t>
  </si>
  <si>
    <t>Capital Work-in-Progress</t>
  </si>
  <si>
    <t>Consumer monopoly or commodity?</t>
  </si>
  <si>
    <t>Is the company conservatively financed?</t>
  </si>
  <si>
    <t>Are earnings strong and do they show an upward trend?</t>
  </si>
  <si>
    <t>Does the company stick with what it knows?</t>
  </si>
  <si>
    <t>Has the company been buying back its shares?</t>
  </si>
  <si>
    <t>Have retained earnings been invested well?</t>
  </si>
  <si>
    <t>Is the company’s return on equity above average?</t>
  </si>
  <si>
    <t>Is the company free to adjust prices to inflation?</t>
  </si>
  <si>
    <t>Does the company need to constantly reinvest in capital?</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</si>
  <si>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</si>
  <si>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</si>
  <si>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Gross Profit</t>
  </si>
  <si>
    <t>Parameter</t>
  </si>
  <si>
    <t>Explanation</t>
  </si>
  <si>
    <t>Conclusion</t>
  </si>
  <si>
    <t>Never Forget</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</si>
  <si>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</si>
  <si>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Diluted EPS (Rs)</t>
  </si>
  <si>
    <t>Source - Buffettology by Mary Buffett &amp; David Clark</t>
  </si>
  <si>
    <t>Year / Rs Crore</t>
  </si>
  <si>
    <t>Growth Ratios</t>
  </si>
  <si>
    <t>Industry</t>
  </si>
  <si>
    <t>Company</t>
  </si>
  <si>
    <t>Current Stock Price (Rs)</t>
  </si>
  <si>
    <t>XYZ</t>
  </si>
  <si>
    <t>No. of Shares (Crore)</t>
  </si>
  <si>
    <t>Parameters</t>
  </si>
  <si>
    <t>Details</t>
  </si>
  <si>
    <t>Key Financials (Last 10-Years)</t>
  </si>
  <si>
    <t>Market Capitalization (Rs Crore)</t>
  </si>
  <si>
    <t>Face Value (Rs)</t>
  </si>
  <si>
    <t>Sales Growth (10-Year CAGR)</t>
  </si>
  <si>
    <t>Gross Profit Growth (10-Year CAGR)</t>
  </si>
  <si>
    <t>Net Profit Growth (10-Year CAGR)</t>
  </si>
  <si>
    <t>Average Return on Equity</t>
  </si>
  <si>
    <t>Diluted Earnings Per Share (Rs)</t>
  </si>
  <si>
    <t>Diluted Book Value Per Share (Rs)</t>
  </si>
  <si>
    <t>(Don't touch any cell on this sheet, as all are calculated figures)</t>
  </si>
  <si>
    <t>(Enter values only in red cells)</t>
  </si>
  <si>
    <t>Figures in Rs Crore | Enter values only in red cells</t>
  </si>
  <si>
    <t>Business (As you understand it, in simple words)</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</si>
  <si>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</si>
  <si>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</si>
  <si>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</si>
  <si>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Seek companies where earnings have risen as retained earnings (earnings after paying dividends) have been employed profitably. A great way to screen for such companies is by looking at those that have had consistent earnings and strong return on equity in the past.</t>
  </si>
  <si>
    <t>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</si>
  <si>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</si>
  <si>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</si>
  <si>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Buffett Checklist - Read, Remember, Follow!</t>
  </si>
  <si>
    <r>
      <rPr>
        <b/>
        <sz val="15"/>
        <color rgb="FFC00000"/>
        <rFont val="Arial"/>
        <family val="2"/>
      </rPr>
      <t xml:space="preserve">Remember!            </t>
    </r>
    <r>
      <rPr>
        <b/>
        <sz val="12"/>
        <color theme="1"/>
        <rFont val="Arial"/>
        <family val="2"/>
      </rPr>
      <t xml:space="preserve">                                   What counts in the long run is the increase in "per share value", not overall growth or size of a business.</t>
    </r>
  </si>
  <si>
    <r>
      <rPr>
        <b/>
        <sz val="15"/>
        <color rgb="FFC00000"/>
        <rFont val="Arial"/>
        <family val="2"/>
      </rPr>
      <t xml:space="preserve">Remember!                                                           </t>
    </r>
    <r>
      <rPr>
        <b/>
        <sz val="12"/>
        <color theme="1"/>
        <rFont val="Arial"/>
        <family val="2"/>
      </rPr>
      <t>Gross margins suggest pricing power. Higher = Better, but also invites competition. So watch out for consistency.</t>
    </r>
  </si>
  <si>
    <r>
      <rPr>
        <b/>
        <sz val="15"/>
        <color rgb="FFC00000"/>
        <rFont val="Arial"/>
        <family val="2"/>
      </rPr>
      <t xml:space="preserve">Remember!                                                                    </t>
    </r>
    <r>
      <rPr>
        <b/>
        <sz val="12"/>
        <color theme="1"/>
        <rFont val="Arial"/>
        <family val="2"/>
      </rPr>
      <t xml:space="preserve">    Cash flow, not reported earnings, is what determines a company's long-term value.</t>
    </r>
  </si>
  <si>
    <r>
      <rPr>
        <b/>
        <sz val="15"/>
        <color rgb="FFC00000"/>
        <rFont val="Arial"/>
        <family val="2"/>
      </rPr>
      <t xml:space="preserve">Why DCF?        </t>
    </r>
    <r>
      <rPr>
        <b/>
        <sz val="12"/>
        <color rgb="FFC00000"/>
        <rFont val="Arial"/>
        <family val="2"/>
      </rPr>
      <t xml:space="preserve">                                     </t>
    </r>
    <r>
      <rPr>
        <b/>
        <sz val="11"/>
        <color theme="1"/>
        <rFont val="Arial"/>
        <family val="2"/>
      </rPr>
      <t>The value of a business is simply the present value of cash that investors can take out of the business over its lifetime.</t>
    </r>
  </si>
  <si>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</si>
  <si>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That's what is called "pricing power". Companies with moat (as seen from other screening metrics as suggested above (like high ROE, high grow margins, low debt etc.) are able to adjust prices to inflation without the risk of losing significant volume sales.</t>
  </si>
  <si>
    <t>www.safalniveshak.com</t>
  </si>
  <si>
    <r>
      <rPr>
        <sz val="30"/>
        <color rgb="FF0070C0"/>
        <rFont val="Arial Black"/>
        <family val="2"/>
      </rPr>
      <t xml:space="preserve">Safal Niveshak                          </t>
    </r>
    <r>
      <rPr>
        <sz val="20"/>
        <color theme="1"/>
        <rFont val="Arial Black"/>
        <family val="2"/>
      </rPr>
      <t xml:space="preserve"> </t>
    </r>
    <r>
      <rPr>
        <sz val="15"/>
        <color theme="1"/>
        <rFont val="Arial Black"/>
        <family val="2"/>
      </rPr>
      <t xml:space="preserve">Value Investing Made Simple                 </t>
    </r>
  </si>
  <si>
    <t>Average Debt/Equity (x)</t>
  </si>
  <si>
    <r>
      <rPr>
        <b/>
        <sz val="15"/>
        <color rgb="FFC00000"/>
        <rFont val="Arial"/>
        <family val="2"/>
      </rPr>
      <t xml:space="preserve">Warning!            </t>
    </r>
    <r>
      <rPr>
        <b/>
        <sz val="12"/>
        <color theme="1"/>
        <rFont val="Arial"/>
        <family val="2"/>
      </rPr>
      <t xml:space="preserve">                                                                                                 Excel can be a wonderful tool to analyze the past. But it can be a weapon of mass destruction to predict the future! So be very careful of what you are getting into. Here, garbage in will always equal garbage out.</t>
    </r>
  </si>
  <si>
    <r>
      <rPr>
        <b/>
        <sz val="15"/>
        <color rgb="FFC00000"/>
        <rFont val="Arial"/>
        <family val="2"/>
      </rPr>
      <t xml:space="preserve">Remember!                                                                                                                         </t>
    </r>
    <r>
      <rPr>
        <b/>
        <sz val="12"/>
        <color theme="1"/>
        <rFont val="Arial"/>
        <family val="2"/>
      </rPr>
      <t>Focus on decisions, not outcomes. Look for disconfirming evidence. Calculate. Pray!</t>
    </r>
  </si>
  <si>
    <r>
      <rPr>
        <b/>
        <sz val="15"/>
        <color rgb="FFC00000"/>
        <rFont val="Arial"/>
        <family val="2"/>
      </rPr>
      <t xml:space="preserve">Please!                                                                                 </t>
    </r>
    <r>
      <rPr>
        <b/>
        <sz val="12"/>
        <color theme="1"/>
        <rFont val="Arial"/>
        <family val="2"/>
      </rPr>
      <t xml:space="preserve">It's your money. Please don't blame me if results of this excel cause you to lose it all! I've designed this excel to aid your own thinking, but you alone are responsible for your actions. I want to live peacefully ever after! :-)                                 </t>
    </r>
    <r>
      <rPr>
        <b/>
        <sz val="12"/>
        <color rgb="FFC00000"/>
        <rFont val="Arial"/>
        <family val="2"/>
      </rPr>
      <t xml:space="preserve">I am not a sadist who wants you to do the hard work by analyzing companies on your own. But I'd rather give you a compass instead of a map, for you can confuse map with territory and lose it all! </t>
    </r>
    <r>
      <rPr>
        <b/>
        <sz val="12"/>
        <color theme="1"/>
        <rFont val="Arial"/>
        <family val="2"/>
      </rPr>
      <t>All the best!</t>
    </r>
  </si>
  <si>
    <r>
      <rPr>
        <b/>
        <sz val="20"/>
        <color rgb="FFC00000"/>
        <rFont val="Arial"/>
        <family val="2"/>
      </rPr>
      <t xml:space="preserve">Remember!  </t>
    </r>
    <r>
      <rPr>
        <b/>
        <sz val="12"/>
        <color rgb="FFC00000"/>
        <rFont val="Arial"/>
        <family val="2"/>
      </rPr>
      <t xml:space="preserve"> </t>
    </r>
    <r>
      <rPr>
        <b/>
        <sz val="12"/>
        <color theme="1"/>
        <rFont val="Arial"/>
        <family val="2"/>
      </rPr>
      <t xml:space="preserve">                                                                                            Give importance to a stock's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t>
    </r>
    <r>
      <rPr>
        <b/>
        <sz val="12"/>
        <color rgb="FFC00000"/>
        <rFont val="Arial"/>
        <family val="2"/>
      </rPr>
      <t>Focus on decisions, not outcomes. Look for disconfirming evidence. Pray!</t>
    </r>
  </si>
  <si>
    <r>
      <rPr>
        <b/>
        <sz val="15"/>
        <color rgb="FFC00000"/>
        <rFont val="Arial"/>
        <family val="2"/>
      </rPr>
      <t xml:space="preserve">Remember! </t>
    </r>
    <r>
      <rPr>
        <sz val="15"/>
        <color rgb="FFC00000"/>
        <rFont val="Arial"/>
        <family val="2"/>
      </rPr>
      <t xml:space="preserve"> </t>
    </r>
    <r>
      <rPr>
        <sz val="12"/>
        <color theme="1"/>
        <rFont val="Arial"/>
        <family val="2"/>
      </rPr>
      <t xml:space="preserve">                                                   </t>
    </r>
    <r>
      <rPr>
        <b/>
        <sz val="12"/>
        <color theme="1"/>
        <rFont val="Arial"/>
        <family val="2"/>
      </rPr>
      <t xml:space="preserve">ROE = Efficiency in allocating capital, which is a CEO's #1 job. Higher = Better. Look for consistency. </t>
    </r>
  </si>
  <si>
    <t>Automobiles</t>
  </si>
  <si>
    <t>Basic Company Details (July 2015)</t>
  </si>
  <si>
    <t>Hero Motocorp</t>
  </si>
  <si>
    <t>Hero Motocorp - Balance Sheet</t>
  </si>
  <si>
    <t>L (FY14)</t>
  </si>
  <si>
    <t>Hero Motocorp - P&amp;L Account</t>
  </si>
  <si>
    <t>Profit After Tax (PAT)</t>
  </si>
  <si>
    <t>Hero Motocorp - Cash Flow Statement</t>
  </si>
  <si>
    <t>Hero Motocorp - Key Ratios</t>
  </si>
  <si>
    <t>Hero Motocorp: 2-Stage DCF</t>
  </si>
  <si>
    <t>Hero Motocorp - Fair Value Calculation</t>
  </si>
  <si>
    <t>Expected Return Model</t>
  </si>
  <si>
    <t>CAGR (10-Yr)</t>
  </si>
  <si>
    <t>CAGR (5-Yr)</t>
  </si>
  <si>
    <t>Profit After Tax (Rs Cr)</t>
  </si>
  <si>
    <t>Earnings per Share (Rs )</t>
  </si>
  <si>
    <t>Net Profit Margin</t>
  </si>
  <si>
    <t>Return on Equity</t>
  </si>
  <si>
    <t>Calculations</t>
  </si>
  <si>
    <t>Esti. CAGR in EPS over next 10 years</t>
  </si>
  <si>
    <t>Esti. EPS after 10 years</t>
  </si>
  <si>
    <t>Current P/E</t>
  </si>
  <si>
    <t>Esti. Stock Price @ 20x P/E</t>
  </si>
  <si>
    <t>CMP (Rs)</t>
  </si>
  <si>
    <t>Esti. CAGR Return in 10 Years</t>
  </si>
  <si>
    <t>(Enter values only in red cells) | Data Source: Ace Equity</t>
  </si>
  <si>
    <r>
      <rPr>
        <b/>
        <i/>
        <sz val="12"/>
        <color theme="1"/>
        <rFont val="Arial"/>
        <family val="2"/>
      </rPr>
      <t xml:space="preserve">Note: </t>
    </r>
    <r>
      <rPr>
        <i/>
        <u/>
        <sz val="12"/>
        <color rgb="FF0033CC"/>
        <rFont val="Arial"/>
        <family val="2"/>
      </rPr>
      <t>See the explanation of this model here</t>
    </r>
  </si>
  <si>
    <t>Note: Hero Motocorp's analysis in this excel is for representation purpose only.</t>
  </si>
  <si>
    <t>Focus on decisions, not outcomes. Look for disconfirming evidence.</t>
  </si>
  <si>
    <r>
      <rPr>
        <b/>
        <u/>
        <sz val="12"/>
        <color theme="1"/>
        <rFont val="Arial"/>
        <family val="2"/>
      </rPr>
      <t>Note:</t>
    </r>
    <r>
      <rPr>
        <u/>
        <sz val="12"/>
        <color theme="10"/>
        <rFont val="Arial"/>
        <family val="2"/>
      </rPr>
      <t xml:space="preserve"> See the explanation of DCF here</t>
    </r>
  </si>
</sst>
</file>

<file path=xl/styles.xml><?xml version="1.0" encoding="utf-8"?>
<styleSheet xmlns="http://schemas.openxmlformats.org/spreadsheetml/2006/main">
  <numFmts count="9">
    <numFmt numFmtId="43" formatCode="_ * #,##0.00_ ;_ * \-#,##0.00_ ;_ * &quot;-&quot;??_ ;_ @_ "/>
    <numFmt numFmtId="164" formatCode="&quot;$&quot;#,##0_);[Red]\(&quot;$&quot;#,##0\)"/>
    <numFmt numFmtId="165" formatCode="_(* #,##0.00_);_(* \(#,##0.00\);_(* &quot;-&quot;??_);_(@_)"/>
    <numFmt numFmtId="166" formatCode="_(* #,##0.0_);_(* \(#,##0.0\);_(* &quot;-&quot;??_);_(@_)"/>
    <numFmt numFmtId="167" formatCode="_(* #,##0_);_(* \(#,##0\);_(* &quot;-&quot;??_);_(@_)"/>
    <numFmt numFmtId="168" formatCode="#,##0.000_);[Red]\(#,##0.000\)"/>
    <numFmt numFmtId="169" formatCode="0.0%"/>
    <numFmt numFmtId="170" formatCode="[$-409]mmm/yy;@"/>
    <numFmt numFmtId="176" formatCode="0.0000%"/>
  </numFmts>
  <fonts count="42">
    <font>
      <sz val="11"/>
      <color theme="1"/>
      <name val="Calibri"/>
      <family val="2"/>
      <scheme val="minor"/>
    </font>
    <font>
      <sz val="11"/>
      <color theme="1"/>
      <name val="Calibri"/>
      <family val="2"/>
      <scheme val="minor"/>
    </font>
    <font>
      <sz val="9"/>
      <color indexed="81"/>
      <name val="Tahoma"/>
      <family val="2"/>
    </font>
    <font>
      <sz val="12"/>
      <color indexed="8"/>
      <name val="Arial"/>
      <family val="2"/>
    </font>
    <font>
      <b/>
      <sz val="12"/>
      <color indexed="8"/>
      <name val="Arial"/>
      <family val="2"/>
    </font>
    <font>
      <b/>
      <sz val="12"/>
      <color theme="1"/>
      <name val="Arial"/>
      <family val="2"/>
    </font>
    <font>
      <sz val="12"/>
      <color theme="1"/>
      <name val="Arial"/>
      <family val="2"/>
    </font>
    <font>
      <i/>
      <sz val="12"/>
      <color theme="1"/>
      <name val="Arial"/>
      <family val="2"/>
    </font>
    <font>
      <b/>
      <sz val="12"/>
      <color rgb="FFC00000"/>
      <name val="Arial"/>
      <family val="2"/>
    </font>
    <font>
      <b/>
      <sz val="9"/>
      <color indexed="81"/>
      <name val="Tahoma"/>
      <family val="2"/>
    </font>
    <font>
      <b/>
      <sz val="12"/>
      <color theme="0"/>
      <name val="Arial"/>
      <family val="2"/>
    </font>
    <font>
      <b/>
      <i/>
      <sz val="9"/>
      <color indexed="81"/>
      <name val="Tahoma"/>
      <family val="2"/>
    </font>
    <font>
      <b/>
      <sz val="12"/>
      <name val="Arial"/>
      <family val="2"/>
    </font>
    <font>
      <sz val="12"/>
      <name val="Arial"/>
      <family val="2"/>
    </font>
    <font>
      <sz val="12"/>
      <color rgb="FF000000"/>
      <name val="Arial"/>
      <family val="2"/>
    </font>
    <font>
      <b/>
      <sz val="15"/>
      <color theme="1"/>
      <name val="Arial"/>
      <family val="2"/>
    </font>
    <font>
      <b/>
      <sz val="15"/>
      <name val="Arial"/>
      <family val="2"/>
    </font>
    <font>
      <i/>
      <sz val="9"/>
      <color indexed="81"/>
      <name val="Tahoma"/>
      <family val="2"/>
    </font>
    <font>
      <sz val="12"/>
      <color rgb="FFC00000"/>
      <name val="Arial"/>
      <family val="2"/>
    </font>
    <font>
      <b/>
      <sz val="20"/>
      <color theme="1"/>
      <name val="Arial"/>
      <family val="2"/>
    </font>
    <font>
      <sz val="20"/>
      <color theme="1"/>
      <name val="Arial"/>
      <family val="2"/>
    </font>
    <font>
      <i/>
      <sz val="10"/>
      <color theme="1"/>
      <name val="Arial"/>
      <family val="2"/>
    </font>
    <font>
      <b/>
      <sz val="12"/>
      <color theme="0" tint="-4.9989318521683403E-2"/>
      <name val="Arial"/>
      <family val="2"/>
    </font>
    <font>
      <b/>
      <sz val="20"/>
      <color rgb="FFC00000"/>
      <name val="Arial"/>
      <family val="2"/>
    </font>
    <font>
      <b/>
      <sz val="15"/>
      <color rgb="FFC00000"/>
      <name val="Arial"/>
      <family val="2"/>
    </font>
    <font>
      <i/>
      <sz val="11"/>
      <color rgb="FFC00000"/>
      <name val="Arial"/>
      <family val="2"/>
    </font>
    <font>
      <i/>
      <sz val="12"/>
      <color rgb="FFC00000"/>
      <name val="Arial"/>
      <family val="2"/>
    </font>
    <font>
      <sz val="15"/>
      <color rgb="FFC00000"/>
      <name val="Arial"/>
      <family val="2"/>
    </font>
    <font>
      <b/>
      <sz val="11"/>
      <color theme="1"/>
      <name val="Arial"/>
      <family val="2"/>
    </font>
    <font>
      <sz val="20"/>
      <color theme="1"/>
      <name val="Arial Black"/>
      <family val="2"/>
    </font>
    <font>
      <u/>
      <sz val="11"/>
      <color theme="10"/>
      <name val="Calibri"/>
      <family val="2"/>
    </font>
    <font>
      <b/>
      <u/>
      <sz val="12"/>
      <color theme="10"/>
      <name val="Arial"/>
      <family val="2"/>
    </font>
    <font>
      <sz val="15"/>
      <color theme="1"/>
      <name val="Arial Black"/>
      <family val="2"/>
    </font>
    <font>
      <sz val="30"/>
      <color rgb="FF0070C0"/>
      <name val="Arial Black"/>
      <family val="2"/>
    </font>
    <font>
      <b/>
      <sz val="9"/>
      <color indexed="81"/>
      <name val="Tahoma"/>
      <charset val="1"/>
    </font>
    <font>
      <sz val="11"/>
      <color rgb="FFC00000"/>
      <name val="Arial"/>
      <family val="2"/>
    </font>
    <font>
      <sz val="12"/>
      <color theme="0"/>
      <name val="Arial"/>
      <family val="2"/>
    </font>
    <font>
      <u/>
      <sz val="12"/>
      <color theme="10"/>
      <name val="Arial"/>
      <family val="2"/>
    </font>
    <font>
      <i/>
      <u/>
      <sz val="12"/>
      <color rgb="FF0033CC"/>
      <name val="Arial"/>
      <family val="2"/>
    </font>
    <font>
      <b/>
      <i/>
      <sz val="12"/>
      <color theme="1"/>
      <name val="Arial"/>
      <family val="2"/>
    </font>
    <font>
      <b/>
      <i/>
      <sz val="12"/>
      <color rgb="FFC00000"/>
      <name val="Arial"/>
      <family val="2"/>
    </font>
    <font>
      <b/>
      <u/>
      <sz val="12"/>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6" tint="0.399975585192419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253">
    <xf numFmtId="0" fontId="0" fillId="0" borderId="0" xfId="0"/>
    <xf numFmtId="2" fontId="3" fillId="0" borderId="0" xfId="0" applyNumberFormat="1" applyFont="1"/>
    <xf numFmtId="167" fontId="6" fillId="0" borderId="0" xfId="1" applyNumberFormat="1" applyFont="1"/>
    <xf numFmtId="0" fontId="6" fillId="0" borderId="0" xfId="0" applyFont="1"/>
    <xf numFmtId="167" fontId="3" fillId="0" borderId="0" xfId="1" applyNumberFormat="1" applyFont="1"/>
    <xf numFmtId="1" fontId="6" fillId="0" borderId="0" xfId="0" applyNumberFormat="1" applyFont="1"/>
    <xf numFmtId="167" fontId="7" fillId="0" borderId="0" xfId="1" applyNumberFormat="1" applyFont="1"/>
    <xf numFmtId="166" fontId="6" fillId="0" borderId="0" xfId="1" applyNumberFormat="1" applyFont="1"/>
    <xf numFmtId="0" fontId="5" fillId="0" borderId="0" xfId="0" applyFont="1"/>
    <xf numFmtId="49" fontId="13" fillId="0" borderId="0" xfId="0" applyNumberFormat="1" applyFont="1" applyAlignment="1">
      <alignment horizontal="center"/>
    </xf>
    <xf numFmtId="9" fontId="6" fillId="0" borderId="2" xfId="0" applyNumberFormat="1" applyFont="1" applyBorder="1" applyAlignment="1">
      <alignment horizontal="center"/>
    </xf>
    <xf numFmtId="0" fontId="13" fillId="0" borderId="0" xfId="0" applyFont="1"/>
    <xf numFmtId="9" fontId="13" fillId="0" borderId="0" xfId="0" applyNumberFormat="1" applyFont="1" applyBorder="1" applyAlignment="1">
      <alignment horizontal="center"/>
    </xf>
    <xf numFmtId="0" fontId="13" fillId="0" borderId="0" xfId="0" applyFont="1" applyBorder="1" applyAlignment="1">
      <alignment horizontal="center"/>
    </xf>
    <xf numFmtId="168" fontId="13" fillId="0" borderId="0" xfId="0" applyNumberFormat="1" applyFont="1" applyBorder="1" applyAlignment="1">
      <alignment horizontal="center"/>
    </xf>
    <xf numFmtId="164" fontId="13" fillId="0" borderId="0" xfId="0" applyNumberFormat="1" applyFont="1" applyBorder="1" applyAlignment="1">
      <alignment horizontal="center"/>
    </xf>
    <xf numFmtId="9" fontId="13" fillId="0" borderId="0" xfId="0" applyNumberFormat="1" applyFont="1" applyAlignment="1">
      <alignment horizontal="center"/>
    </xf>
    <xf numFmtId="168" fontId="13" fillId="0" borderId="0" xfId="0" applyNumberFormat="1" applyFont="1" applyAlignment="1">
      <alignment horizontal="center"/>
    </xf>
    <xf numFmtId="0" fontId="13" fillId="0" borderId="0" xfId="0" quotePrefix="1" applyFont="1" applyAlignment="1">
      <alignment horizontal="left"/>
    </xf>
    <xf numFmtId="9" fontId="13" fillId="0" borderId="0" xfId="0" applyNumberFormat="1" applyFont="1" applyAlignment="1">
      <alignment horizontal="right"/>
    </xf>
    <xf numFmtId="0" fontId="13" fillId="0" borderId="0" xfId="0" quotePrefix="1" applyFont="1" applyAlignment="1">
      <alignment horizontal="center"/>
    </xf>
    <xf numFmtId="0" fontId="6" fillId="0" borderId="0" xfId="0" applyFont="1" applyFill="1"/>
    <xf numFmtId="0" fontId="5" fillId="0" borderId="0" xfId="0" applyFont="1" applyFill="1"/>
    <xf numFmtId="43" fontId="6" fillId="0" borderId="0" xfId="0" applyNumberFormat="1" applyFont="1"/>
    <xf numFmtId="0" fontId="6" fillId="0" borderId="0" xfId="0" applyFont="1" applyBorder="1"/>
    <xf numFmtId="166" fontId="6" fillId="0" borderId="0" xfId="1" applyNumberFormat="1" applyFont="1" applyBorder="1"/>
    <xf numFmtId="165" fontId="6" fillId="0" borderId="0" xfId="0" applyNumberFormat="1" applyFont="1"/>
    <xf numFmtId="169" fontId="6" fillId="0" borderId="0" xfId="2" applyNumberFormat="1" applyFont="1"/>
    <xf numFmtId="166" fontId="3" fillId="0" borderId="4" xfId="1" applyNumberFormat="1" applyFont="1" applyBorder="1"/>
    <xf numFmtId="167" fontId="3" fillId="0" borderId="4" xfId="1" applyNumberFormat="1" applyFont="1" applyBorder="1"/>
    <xf numFmtId="38" fontId="13" fillId="0" borderId="4" xfId="0" applyNumberFormat="1" applyFont="1" applyBorder="1" applyAlignment="1">
      <alignment horizontal="center"/>
    </xf>
    <xf numFmtId="9" fontId="13" fillId="0" borderId="4" xfId="0" applyNumberFormat="1" applyFont="1" applyBorder="1" applyAlignment="1">
      <alignment horizontal="center"/>
    </xf>
    <xf numFmtId="0" fontId="6" fillId="0" borderId="0" xfId="0" applyFont="1" applyAlignment="1">
      <alignment horizontal="left"/>
    </xf>
    <xf numFmtId="167" fontId="4" fillId="5" borderId="4" xfId="1" applyNumberFormat="1" applyFont="1" applyFill="1" applyBorder="1"/>
    <xf numFmtId="167" fontId="3" fillId="0" borderId="4" xfId="1" applyNumberFormat="1" applyFont="1" applyFill="1" applyBorder="1"/>
    <xf numFmtId="9" fontId="3" fillId="0" borderId="4" xfId="2" applyFont="1" applyBorder="1"/>
    <xf numFmtId="0" fontId="5" fillId="0" borderId="0" xfId="0" applyFont="1" applyFill="1" applyAlignment="1">
      <alignment horizontal="right"/>
    </xf>
    <xf numFmtId="0" fontId="6" fillId="0" borderId="4" xfId="0" applyFont="1" applyBorder="1" applyAlignment="1">
      <alignment wrapText="1"/>
    </xf>
    <xf numFmtId="167" fontId="6" fillId="0" borderId="0" xfId="0" applyNumberFormat="1" applyFont="1"/>
    <xf numFmtId="9" fontId="6" fillId="0" borderId="0" xfId="0" applyNumberFormat="1" applyFont="1"/>
    <xf numFmtId="0" fontId="20" fillId="0" borderId="0" xfId="0" applyFont="1"/>
    <xf numFmtId="0" fontId="6" fillId="3" borderId="0" xfId="0" applyFont="1" applyFill="1" applyAlignment="1">
      <alignment wrapText="1"/>
    </xf>
    <xf numFmtId="0" fontId="6" fillId="3" borderId="0" xfId="0" applyFont="1" applyFill="1"/>
    <xf numFmtId="0" fontId="5" fillId="3" borderId="0" xfId="0" applyFont="1" applyFill="1" applyAlignment="1">
      <alignment vertical="center"/>
    </xf>
    <xf numFmtId="0" fontId="5" fillId="0" borderId="4" xfId="0" applyFont="1" applyBorder="1" applyAlignment="1">
      <alignment vertical="center"/>
    </xf>
    <xf numFmtId="166" fontId="4" fillId="5" borderId="4" xfId="1" applyNumberFormat="1" applyFont="1" applyFill="1" applyBorder="1"/>
    <xf numFmtId="9" fontId="8" fillId="0" borderId="5" xfId="0" applyNumberFormat="1" applyFont="1" applyFill="1" applyBorder="1" applyAlignment="1">
      <alignment horizontal="center"/>
    </xf>
    <xf numFmtId="9" fontId="8" fillId="0" borderId="6" xfId="0" applyNumberFormat="1" applyFont="1" applyFill="1" applyBorder="1" applyAlignment="1">
      <alignment horizontal="center"/>
    </xf>
    <xf numFmtId="9" fontId="8" fillId="0" borderId="1" xfId="0" applyNumberFormat="1" applyFont="1" applyFill="1" applyBorder="1" applyAlignment="1">
      <alignment horizontal="center"/>
    </xf>
    <xf numFmtId="0" fontId="8" fillId="0" borderId="0" xfId="0" applyFont="1"/>
    <xf numFmtId="9" fontId="8" fillId="0" borderId="0" xfId="0" applyNumberFormat="1" applyFont="1" applyAlignment="1">
      <alignment horizontal="center"/>
    </xf>
    <xf numFmtId="166" fontId="3" fillId="0" borderId="4" xfId="1" applyNumberFormat="1" applyFont="1" applyFill="1" applyBorder="1"/>
    <xf numFmtId="167" fontId="8" fillId="0" borderId="4" xfId="1" applyNumberFormat="1" applyFont="1" applyBorder="1"/>
    <xf numFmtId="0" fontId="6" fillId="0" borderId="0" xfId="0" applyFont="1" applyFill="1" applyBorder="1"/>
    <xf numFmtId="0" fontId="6" fillId="0" borderId="14" xfId="0" applyFont="1" applyFill="1" applyBorder="1" applyAlignment="1">
      <alignment horizontal="left"/>
    </xf>
    <xf numFmtId="167" fontId="6" fillId="0" borderId="15" xfId="1" applyNumberFormat="1" applyFont="1" applyFill="1" applyBorder="1"/>
    <xf numFmtId="0" fontId="5" fillId="0" borderId="14" xfId="0" applyFont="1" applyBorder="1"/>
    <xf numFmtId="0" fontId="22" fillId="2" borderId="14" xfId="0" applyFont="1" applyFill="1" applyBorder="1"/>
    <xf numFmtId="167" fontId="22" fillId="2" borderId="15" xfId="1" applyNumberFormat="1" applyFont="1" applyFill="1" applyBorder="1"/>
    <xf numFmtId="167" fontId="5" fillId="0" borderId="15" xfId="1" applyNumberFormat="1" applyFont="1" applyBorder="1"/>
    <xf numFmtId="0" fontId="6" fillId="0" borderId="16" xfId="0" applyFont="1" applyFill="1" applyBorder="1"/>
    <xf numFmtId="169" fontId="5" fillId="0" borderId="17" xfId="2" applyNumberFormat="1" applyFont="1" applyFill="1" applyBorder="1"/>
    <xf numFmtId="0" fontId="6" fillId="0" borderId="14" xfId="0" applyFont="1" applyFill="1" applyBorder="1"/>
    <xf numFmtId="0" fontId="5" fillId="3" borderId="12" xfId="0" applyFont="1" applyFill="1" applyBorder="1"/>
    <xf numFmtId="170" fontId="5" fillId="3" borderId="18" xfId="0" applyNumberFormat="1" applyFont="1" applyFill="1" applyBorder="1" applyAlignment="1">
      <alignment horizontal="right"/>
    </xf>
    <xf numFmtId="170" fontId="5" fillId="3" borderId="13" xfId="0" applyNumberFormat="1" applyFont="1" applyFill="1" applyBorder="1" applyAlignment="1">
      <alignment horizontal="right"/>
    </xf>
    <xf numFmtId="0" fontId="14" fillId="0" borderId="14" xfId="0" applyFont="1" applyFill="1" applyBorder="1"/>
    <xf numFmtId="166" fontId="3" fillId="0" borderId="15" xfId="1" applyNumberFormat="1" applyFont="1" applyFill="1" applyBorder="1"/>
    <xf numFmtId="167" fontId="8" fillId="0" borderId="15" xfId="1" applyNumberFormat="1" applyFont="1" applyBorder="1"/>
    <xf numFmtId="0" fontId="14" fillId="0" borderId="16" xfId="0" applyFont="1" applyFill="1" applyBorder="1"/>
    <xf numFmtId="166" fontId="3" fillId="0" borderId="19" xfId="1" applyNumberFormat="1" applyFont="1" applyFill="1" applyBorder="1"/>
    <xf numFmtId="166" fontId="3" fillId="0" borderId="17" xfId="1" applyNumberFormat="1" applyFont="1" applyFill="1" applyBorder="1"/>
    <xf numFmtId="0" fontId="12" fillId="3" borderId="13" xfId="0" applyFont="1" applyFill="1" applyBorder="1" applyAlignment="1">
      <alignment horizontal="center"/>
    </xf>
    <xf numFmtId="0" fontId="12" fillId="3" borderId="18" xfId="0" applyFont="1" applyFill="1" applyBorder="1" applyAlignment="1">
      <alignment horizontal="center"/>
    </xf>
    <xf numFmtId="0" fontId="12" fillId="3" borderId="12" xfId="0" applyFont="1" applyFill="1" applyBorder="1" applyAlignment="1">
      <alignment horizontal="center"/>
    </xf>
    <xf numFmtId="0" fontId="13" fillId="0" borderId="14" xfId="0" applyFont="1" applyBorder="1" applyAlignment="1">
      <alignment horizontal="center"/>
    </xf>
    <xf numFmtId="167" fontId="13" fillId="0" borderId="15" xfId="0" applyNumberFormat="1" applyFont="1" applyBorder="1" applyAlignment="1">
      <alignment horizontal="center"/>
    </xf>
    <xf numFmtId="0" fontId="13" fillId="0" borderId="16" xfId="0" applyFont="1" applyBorder="1" applyAlignment="1">
      <alignment horizontal="center"/>
    </xf>
    <xf numFmtId="38" fontId="13" fillId="0" borderId="19" xfId="0" applyNumberFormat="1" applyFont="1" applyBorder="1" applyAlignment="1">
      <alignment horizontal="center"/>
    </xf>
    <xf numFmtId="9" fontId="13" fillId="0" borderId="19" xfId="0" applyNumberFormat="1" applyFont="1" applyBorder="1" applyAlignment="1">
      <alignment horizontal="center"/>
    </xf>
    <xf numFmtId="167" fontId="13" fillId="0" borderId="17" xfId="0" applyNumberFormat="1" applyFont="1" applyBorder="1" applyAlignment="1">
      <alignment horizontal="center"/>
    </xf>
    <xf numFmtId="0" fontId="13" fillId="0" borderId="14" xfId="0" applyFont="1" applyBorder="1" applyAlignment="1">
      <alignment horizontal="left"/>
    </xf>
    <xf numFmtId="0" fontId="13" fillId="0" borderId="14" xfId="0" quotePrefix="1" applyFont="1" applyBorder="1" applyAlignment="1">
      <alignment horizontal="left"/>
    </xf>
    <xf numFmtId="0" fontId="10" fillId="2" borderId="16" xfId="0" applyFont="1" applyFill="1" applyBorder="1" applyAlignment="1">
      <alignment horizontal="left"/>
    </xf>
    <xf numFmtId="167" fontId="10" fillId="2" borderId="17" xfId="0" applyNumberFormat="1" applyFont="1" applyFill="1" applyBorder="1" applyAlignment="1">
      <alignment horizontal="center"/>
    </xf>
    <xf numFmtId="2" fontId="4" fillId="3" borderId="12" xfId="0" applyNumberFormat="1" applyFont="1" applyFill="1" applyBorder="1"/>
    <xf numFmtId="2" fontId="3" fillId="0" borderId="14" xfId="0" applyNumberFormat="1" applyFont="1" applyBorder="1"/>
    <xf numFmtId="166" fontId="3" fillId="0" borderId="15" xfId="1" applyNumberFormat="1" applyFont="1" applyBorder="1"/>
    <xf numFmtId="9" fontId="3" fillId="0" borderId="15" xfId="2" applyFont="1" applyBorder="1"/>
    <xf numFmtId="2" fontId="3" fillId="0" borderId="16" xfId="0" applyNumberFormat="1" applyFont="1" applyBorder="1"/>
    <xf numFmtId="9" fontId="3" fillId="0" borderId="19" xfId="2" applyFont="1" applyBorder="1"/>
    <xf numFmtId="9" fontId="3" fillId="0" borderId="17" xfId="2" applyFont="1" applyBorder="1"/>
    <xf numFmtId="166" fontId="3" fillId="0" borderId="19" xfId="1" applyNumberFormat="1" applyFont="1" applyBorder="1"/>
    <xf numFmtId="166" fontId="3" fillId="0" borderId="17" xfId="1" applyNumberFormat="1" applyFont="1" applyBorder="1"/>
    <xf numFmtId="167" fontId="3" fillId="0" borderId="15" xfId="1" applyNumberFormat="1" applyFont="1" applyBorder="1"/>
    <xf numFmtId="167" fontId="3" fillId="0" borderId="19" xfId="1" applyNumberFormat="1" applyFont="1" applyBorder="1"/>
    <xf numFmtId="167" fontId="3" fillId="0" borderId="17" xfId="1" applyNumberFormat="1" applyFont="1" applyBorder="1"/>
    <xf numFmtId="167" fontId="5" fillId="5" borderId="4" xfId="1" applyNumberFormat="1" applyFont="1" applyFill="1" applyBorder="1"/>
    <xf numFmtId="2" fontId="4" fillId="5" borderId="14" xfId="0" applyNumberFormat="1" applyFont="1" applyFill="1" applyBorder="1"/>
    <xf numFmtId="167" fontId="4" fillId="5" borderId="15" xfId="1" applyNumberFormat="1" applyFont="1" applyFill="1" applyBorder="1"/>
    <xf numFmtId="0" fontId="5" fillId="5" borderId="16" xfId="0" applyFont="1" applyFill="1" applyBorder="1"/>
    <xf numFmtId="167" fontId="5" fillId="5" borderId="19" xfId="1" applyNumberFormat="1" applyFont="1" applyFill="1" applyBorder="1"/>
    <xf numFmtId="167" fontId="5" fillId="5" borderId="17" xfId="1" applyNumberFormat="1" applyFont="1" applyFill="1" applyBorder="1"/>
    <xf numFmtId="167" fontId="3" fillId="0" borderId="15" xfId="1" applyNumberFormat="1" applyFont="1" applyFill="1" applyBorder="1"/>
    <xf numFmtId="2" fontId="4" fillId="0" borderId="14" xfId="0" applyNumberFormat="1" applyFont="1" applyBorder="1"/>
    <xf numFmtId="2" fontId="10" fillId="4" borderId="4" xfId="0" applyNumberFormat="1" applyFont="1" applyFill="1" applyBorder="1"/>
    <xf numFmtId="167" fontId="5" fillId="0" borderId="4" xfId="1" applyNumberFormat="1" applyFont="1" applyFill="1" applyBorder="1"/>
    <xf numFmtId="167" fontId="10" fillId="4" borderId="4" xfId="1" applyNumberFormat="1" applyFont="1" applyFill="1" applyBorder="1"/>
    <xf numFmtId="2" fontId="10" fillId="4" borderId="14" xfId="0" applyNumberFormat="1" applyFont="1" applyFill="1" applyBorder="1"/>
    <xf numFmtId="2" fontId="10" fillId="4" borderId="15" xfId="0" applyNumberFormat="1" applyFont="1" applyFill="1" applyBorder="1"/>
    <xf numFmtId="2" fontId="5" fillId="5" borderId="14" xfId="0" applyNumberFormat="1" applyFont="1" applyFill="1" applyBorder="1"/>
    <xf numFmtId="167" fontId="5" fillId="5" borderId="15" xfId="1" applyNumberFormat="1" applyFont="1" applyFill="1" applyBorder="1"/>
    <xf numFmtId="2" fontId="5" fillId="0" borderId="14" xfId="0" applyNumberFormat="1" applyFont="1" applyFill="1" applyBorder="1"/>
    <xf numFmtId="167" fontId="5" fillId="0" borderId="15" xfId="1" applyNumberFormat="1" applyFont="1" applyFill="1" applyBorder="1"/>
    <xf numFmtId="2" fontId="8" fillId="0" borderId="14" xfId="0" applyNumberFormat="1" applyFont="1" applyBorder="1"/>
    <xf numFmtId="167" fontId="10" fillId="4" borderId="15" xfId="1" applyNumberFormat="1" applyFont="1" applyFill="1" applyBorder="1"/>
    <xf numFmtId="0" fontId="5" fillId="3" borderId="12" xfId="0" applyFont="1" applyFill="1" applyBorder="1" applyAlignment="1">
      <alignment wrapText="1"/>
    </xf>
    <xf numFmtId="0" fontId="5" fillId="3" borderId="13" xfId="0" applyFont="1" applyFill="1" applyBorder="1" applyAlignment="1">
      <alignment horizontal="left"/>
    </xf>
    <xf numFmtId="0" fontId="5" fillId="0" borderId="16" xfId="0" applyFont="1" applyBorder="1" applyAlignment="1">
      <alignment vertical="center"/>
    </xf>
    <xf numFmtId="0" fontId="6" fillId="0" borderId="17" xfId="0" applyFont="1" applyBorder="1" applyAlignment="1">
      <alignment wrapText="1"/>
    </xf>
    <xf numFmtId="0" fontId="5" fillId="0" borderId="23" xfId="0" applyFont="1" applyBorder="1" applyAlignment="1">
      <alignment vertical="center"/>
    </xf>
    <xf numFmtId="0" fontId="6" fillId="0" borderId="25" xfId="0" applyFont="1" applyBorder="1" applyAlignment="1">
      <alignment wrapText="1"/>
    </xf>
    <xf numFmtId="0" fontId="18" fillId="0" borderId="14" xfId="0" applyFont="1" applyBorder="1"/>
    <xf numFmtId="167" fontId="18" fillId="0" borderId="4" xfId="1" applyNumberFormat="1" applyFont="1" applyBorder="1"/>
    <xf numFmtId="167" fontId="18" fillId="0" borderId="15" xfId="1" applyNumberFormat="1" applyFont="1" applyBorder="1"/>
    <xf numFmtId="0" fontId="8" fillId="0" borderId="14" xfId="0" applyFont="1" applyBorder="1"/>
    <xf numFmtId="2" fontId="18" fillId="0" borderId="14" xfId="0" applyNumberFormat="1" applyFont="1" applyBorder="1"/>
    <xf numFmtId="167" fontId="18" fillId="0" borderId="4" xfId="1" applyNumberFormat="1" applyFont="1" applyFill="1" applyBorder="1"/>
    <xf numFmtId="167" fontId="18" fillId="0" borderId="15" xfId="1" applyNumberFormat="1" applyFont="1" applyFill="1" applyBorder="1"/>
    <xf numFmtId="2" fontId="18" fillId="0" borderId="14" xfId="0" applyNumberFormat="1" applyFont="1" applyBorder="1" applyAlignment="1">
      <alignment horizontal="left"/>
    </xf>
    <xf numFmtId="2" fontId="18" fillId="0" borderId="16" xfId="0" applyNumberFormat="1" applyFont="1" applyBorder="1"/>
    <xf numFmtId="167" fontId="18" fillId="0" borderId="19" xfId="1" applyNumberFormat="1" applyFont="1" applyBorder="1"/>
    <xf numFmtId="167" fontId="18" fillId="0" borderId="17" xfId="1" applyNumberFormat="1" applyFont="1" applyBorder="1"/>
    <xf numFmtId="0" fontId="12" fillId="0" borderId="0" xfId="0" applyFont="1" applyBorder="1" applyAlignment="1">
      <alignment horizontal="left"/>
    </xf>
    <xf numFmtId="0" fontId="0" fillId="0" borderId="0" xfId="0" applyAlignment="1">
      <alignment horizontal="left"/>
    </xf>
    <xf numFmtId="167" fontId="8" fillId="0" borderId="0" xfId="1" applyNumberFormat="1" applyFont="1" applyFill="1" applyBorder="1" applyAlignment="1">
      <alignment horizontal="left"/>
    </xf>
    <xf numFmtId="167" fontId="6" fillId="0" borderId="1" xfId="1" applyNumberFormat="1" applyFont="1" applyFill="1" applyBorder="1" applyAlignment="1">
      <alignment horizontal="center"/>
    </xf>
    <xf numFmtId="167" fontId="6" fillId="0" borderId="3" xfId="1" applyNumberFormat="1" applyFont="1" applyFill="1" applyBorder="1" applyAlignment="1">
      <alignment horizontal="center"/>
    </xf>
    <xf numFmtId="2" fontId="18" fillId="0" borderId="14" xfId="0" applyNumberFormat="1" applyFont="1" applyFill="1" applyBorder="1"/>
    <xf numFmtId="0" fontId="5" fillId="3" borderId="14" xfId="0" applyFont="1" applyFill="1" applyBorder="1" applyAlignment="1">
      <alignment horizontal="left"/>
    </xf>
    <xf numFmtId="9" fontId="5" fillId="3" borderId="15" xfId="2" applyFont="1" applyFill="1" applyBorder="1" applyAlignment="1">
      <alignment horizontal="right"/>
    </xf>
    <xf numFmtId="0" fontId="26" fillId="0" borderId="0" xfId="0" applyFont="1" applyBorder="1" applyAlignment="1">
      <alignment horizontal="center"/>
    </xf>
    <xf numFmtId="9" fontId="18" fillId="0" borderId="15" xfId="2" applyFont="1" applyFill="1" applyBorder="1" applyAlignment="1">
      <alignment horizontal="right"/>
    </xf>
    <xf numFmtId="0" fontId="13" fillId="0" borderId="14" xfId="0" applyFont="1" applyBorder="1" applyAlignment="1">
      <alignment horizontal="left" vertical="top"/>
    </xf>
    <xf numFmtId="167" fontId="18" fillId="0" borderId="15" xfId="1" applyNumberFormat="1" applyFont="1" applyFill="1" applyBorder="1" applyAlignment="1">
      <alignment horizontal="left"/>
    </xf>
    <xf numFmtId="167" fontId="6" fillId="0" borderId="15" xfId="1" applyNumberFormat="1" applyFont="1" applyFill="1" applyBorder="1" applyAlignment="1">
      <alignment horizontal="left"/>
    </xf>
    <xf numFmtId="0" fontId="13" fillId="0" borderId="16" xfId="0" applyFont="1" applyBorder="1" applyAlignment="1">
      <alignment horizontal="left"/>
    </xf>
    <xf numFmtId="169" fontId="6" fillId="0" borderId="15" xfId="2" applyNumberFormat="1" applyFont="1" applyFill="1" applyBorder="1" applyAlignment="1">
      <alignment horizontal="right"/>
    </xf>
    <xf numFmtId="166" fontId="6" fillId="0" borderId="15" xfId="1" applyNumberFormat="1" applyFont="1" applyFill="1" applyBorder="1" applyAlignment="1">
      <alignment horizontal="left" indent="1"/>
    </xf>
    <xf numFmtId="9" fontId="8" fillId="0" borderId="15" xfId="0" applyNumberFormat="1" applyFont="1" applyBorder="1"/>
    <xf numFmtId="0" fontId="18" fillId="3" borderId="0" xfId="0" applyFont="1" applyFill="1"/>
    <xf numFmtId="49" fontId="12" fillId="3" borderId="23" xfId="0" applyNumberFormat="1" applyFont="1" applyFill="1" applyBorder="1" applyAlignment="1">
      <alignment horizontal="center"/>
    </xf>
    <xf numFmtId="49" fontId="12" fillId="3" borderId="25" xfId="0" applyNumberFormat="1" applyFont="1" applyFill="1" applyBorder="1" applyAlignment="1">
      <alignment horizontal="center"/>
    </xf>
    <xf numFmtId="0" fontId="35" fillId="0" borderId="0" xfId="0" applyFont="1" applyAlignment="1">
      <alignment horizontal="left"/>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1" xfId="0" applyFill="1" applyBorder="1" applyAlignment="1">
      <alignment horizontal="center" vertical="center" wrapText="1"/>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5" fillId="5" borderId="29" xfId="0" applyFont="1" applyFill="1" applyBorder="1" applyAlignment="1">
      <alignment horizontal="center"/>
    </xf>
    <xf numFmtId="0" fontId="15" fillId="5" borderId="30" xfId="0"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applyAlignment="1">
      <alignment horizontal="center"/>
    </xf>
    <xf numFmtId="0" fontId="29" fillId="5" borderId="7"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1" fillId="0" borderId="0" xfId="3" applyFont="1" applyAlignment="1" applyProtection="1">
      <alignment horizontal="center"/>
    </xf>
    <xf numFmtId="0" fontId="19" fillId="5" borderId="20" xfId="0" applyFont="1" applyFill="1" applyBorder="1" applyAlignment="1">
      <alignment horizontal="center"/>
    </xf>
    <xf numFmtId="0" fontId="19" fillId="5" borderId="22" xfId="0" applyFont="1" applyFill="1" applyBorder="1" applyAlignment="1">
      <alignment horizontal="center"/>
    </xf>
    <xf numFmtId="0" fontId="21" fillId="0" borderId="21" xfId="0" applyFont="1" applyBorder="1" applyAlignment="1">
      <alignment horizontal="center"/>
    </xf>
    <xf numFmtId="0" fontId="15" fillId="5" borderId="23" xfId="0" applyFont="1" applyFill="1" applyBorder="1" applyAlignment="1">
      <alignment horizontal="center"/>
    </xf>
    <xf numFmtId="0" fontId="15" fillId="5" borderId="24" xfId="0" applyFont="1" applyFill="1" applyBorder="1" applyAlignment="1">
      <alignment horizontal="center"/>
    </xf>
    <xf numFmtId="0" fontId="15" fillId="5" borderId="25" xfId="0" applyFont="1" applyFill="1" applyBorder="1" applyAlignment="1">
      <alignment horizontal="center"/>
    </xf>
    <xf numFmtId="0" fontId="26" fillId="0" borderId="20" xfId="0" applyFont="1" applyFill="1" applyBorder="1" applyAlignment="1">
      <alignment horizontal="center"/>
    </xf>
    <xf numFmtId="0" fontId="26" fillId="0" borderId="21" xfId="0" applyFont="1" applyFill="1" applyBorder="1" applyAlignment="1">
      <alignment horizontal="center"/>
    </xf>
    <xf numFmtId="0" fontId="26" fillId="0" borderId="22" xfId="0" applyFont="1" applyFill="1" applyBorder="1" applyAlignment="1">
      <alignment horizontal="center"/>
    </xf>
    <xf numFmtId="0" fontId="15" fillId="5" borderId="26" xfId="0" applyFont="1" applyFill="1" applyBorder="1" applyAlignment="1">
      <alignment horizontal="center"/>
    </xf>
    <xf numFmtId="0" fontId="15" fillId="5" borderId="27" xfId="0" applyFont="1" applyFill="1" applyBorder="1" applyAlignment="1">
      <alignment horizontal="center"/>
    </xf>
    <xf numFmtId="0" fontId="15" fillId="5" borderId="28" xfId="0" applyFont="1" applyFill="1" applyBorder="1" applyAlignment="1">
      <alignment horizontal="center"/>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5" fillId="0" borderId="0" xfId="0" applyFont="1" applyFill="1" applyBorder="1" applyAlignment="1">
      <alignment horizontal="center"/>
    </xf>
    <xf numFmtId="0" fontId="16" fillId="5" borderId="12"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17" xfId="0" applyFont="1" applyFill="1" applyBorder="1" applyAlignment="1">
      <alignment horizontal="center" vertic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26" fillId="0" borderId="0" xfId="0" applyFont="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15" fillId="5" borderId="20" xfId="0" applyFont="1" applyFill="1" applyBorder="1" applyAlignment="1">
      <alignment horizontal="center"/>
    </xf>
    <xf numFmtId="0" fontId="15" fillId="5" borderId="21" xfId="0" applyFont="1" applyFill="1" applyBorder="1" applyAlignment="1">
      <alignment horizontal="center"/>
    </xf>
    <xf numFmtId="0" fontId="15" fillId="5" borderId="22" xfId="0" applyFont="1" applyFill="1" applyBorder="1" applyAlignment="1">
      <alignment horizontal="center"/>
    </xf>
    <xf numFmtId="0" fontId="26" fillId="0" borderId="0" xfId="0" applyFont="1" applyFill="1" applyBorder="1" applyAlignment="1">
      <alignment horizontal="center"/>
    </xf>
    <xf numFmtId="169" fontId="6" fillId="0" borderId="17" xfId="2" applyNumberFormat="1" applyFont="1" applyFill="1" applyBorder="1" applyAlignment="1"/>
    <xf numFmtId="0" fontId="15" fillId="0" borderId="0" xfId="0" applyFont="1"/>
    <xf numFmtId="0" fontId="5" fillId="5" borderId="18" xfId="0" applyFont="1" applyFill="1" applyBorder="1" applyAlignment="1">
      <alignment horizontal="right"/>
    </xf>
    <xf numFmtId="0" fontId="5" fillId="5" borderId="13" xfId="0" applyFont="1" applyFill="1" applyBorder="1" applyAlignment="1">
      <alignment horizontal="right"/>
    </xf>
    <xf numFmtId="0" fontId="6" fillId="0" borderId="14" xfId="0" applyFont="1" applyBorder="1" applyAlignment="1">
      <alignment wrapText="1"/>
    </xf>
    <xf numFmtId="167" fontId="6" fillId="0" borderId="4" xfId="1" applyNumberFormat="1" applyFont="1" applyBorder="1" applyAlignment="1">
      <alignment horizontal="right" wrapText="1"/>
    </xf>
    <xf numFmtId="9" fontId="6" fillId="5" borderId="4" xfId="2" applyNumberFormat="1" applyFont="1" applyFill="1" applyBorder="1" applyAlignment="1">
      <alignment horizontal="right"/>
    </xf>
    <xf numFmtId="9" fontId="6" fillId="5" borderId="15" xfId="2" applyNumberFormat="1" applyFont="1" applyFill="1" applyBorder="1" applyAlignment="1">
      <alignment horizontal="right"/>
    </xf>
    <xf numFmtId="0" fontId="6" fillId="0" borderId="33" xfId="0" applyFont="1" applyBorder="1" applyAlignment="1">
      <alignment wrapText="1"/>
    </xf>
    <xf numFmtId="167" fontId="6" fillId="0" borderId="34" xfId="1" applyNumberFormat="1" applyFont="1" applyBorder="1" applyAlignment="1">
      <alignment horizontal="right" wrapText="1"/>
    </xf>
    <xf numFmtId="9" fontId="6" fillId="0" borderId="4" xfId="2" applyFont="1" applyBorder="1" applyAlignment="1">
      <alignment horizontal="right" wrapText="1"/>
    </xf>
    <xf numFmtId="0" fontId="6" fillId="0" borderId="16" xfId="0" applyFont="1" applyBorder="1" applyAlignment="1">
      <alignment wrapText="1"/>
    </xf>
    <xf numFmtId="9" fontId="6" fillId="0" borderId="19" xfId="2" applyFont="1" applyBorder="1" applyAlignment="1">
      <alignment horizontal="right" wrapText="1"/>
    </xf>
    <xf numFmtId="9" fontId="6" fillId="5" borderId="19" xfId="2" applyNumberFormat="1" applyFont="1" applyFill="1" applyBorder="1" applyAlignment="1">
      <alignment horizontal="right"/>
    </xf>
    <xf numFmtId="9" fontId="6" fillId="5" borderId="17" xfId="2" applyNumberFormat="1" applyFont="1" applyFill="1" applyBorder="1" applyAlignment="1">
      <alignment horizontal="right"/>
    </xf>
    <xf numFmtId="0" fontId="6" fillId="0" borderId="0" xfId="0" applyFont="1" applyBorder="1" applyAlignment="1">
      <alignment wrapText="1"/>
    </xf>
    <xf numFmtId="9" fontId="6" fillId="0" borderId="0" xfId="2" applyFont="1" applyBorder="1" applyAlignment="1">
      <alignment horizontal="right" wrapText="1"/>
    </xf>
    <xf numFmtId="167" fontId="6" fillId="0" borderId="0" xfId="1" applyNumberFormat="1" applyFont="1" applyAlignment="1">
      <alignment wrapText="1"/>
    </xf>
    <xf numFmtId="9" fontId="6" fillId="0" borderId="0" xfId="2" applyNumberFormat="1" applyFont="1"/>
    <xf numFmtId="0" fontId="6" fillId="0" borderId="12" xfId="0" applyFont="1" applyBorder="1"/>
    <xf numFmtId="9" fontId="36" fillId="2" borderId="13" xfId="0" applyNumberFormat="1" applyFont="1" applyFill="1" applyBorder="1"/>
    <xf numFmtId="0" fontId="6" fillId="0" borderId="14" xfId="0" applyFont="1" applyBorder="1"/>
    <xf numFmtId="167" fontId="6" fillId="0" borderId="15" xfId="1" applyNumberFormat="1" applyFont="1" applyBorder="1"/>
    <xf numFmtId="176" fontId="6" fillId="0" borderId="0" xfId="2" applyNumberFormat="1" applyFont="1"/>
    <xf numFmtId="166" fontId="36" fillId="2" borderId="15" xfId="1" applyNumberFormat="1" applyFont="1" applyFill="1" applyBorder="1"/>
    <xf numFmtId="167" fontId="36" fillId="2" borderId="15" xfId="1" applyNumberFormat="1" applyFont="1" applyFill="1" applyBorder="1"/>
    <xf numFmtId="0" fontId="5" fillId="6" borderId="16" xfId="0" applyFont="1" applyFill="1" applyBorder="1"/>
    <xf numFmtId="169" fontId="5" fillId="6" borderId="17" xfId="2" applyNumberFormat="1" applyFont="1" applyFill="1" applyBorder="1"/>
    <xf numFmtId="0" fontId="38" fillId="0" borderId="0" xfId="3" applyFont="1" applyFill="1" applyBorder="1" applyAlignment="1" applyProtection="1"/>
    <xf numFmtId="0" fontId="40" fillId="0" borderId="31" xfId="0" applyFont="1" applyFill="1" applyBorder="1" applyAlignment="1">
      <alignment horizontal="center"/>
    </xf>
    <xf numFmtId="0" fontId="40" fillId="0" borderId="32" xfId="0" applyFont="1" applyFill="1" applyBorder="1" applyAlignment="1">
      <alignment horizontal="center"/>
    </xf>
    <xf numFmtId="0" fontId="37" fillId="0" borderId="0" xfId="3" applyFont="1" applyAlignment="1" applyProtection="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5</xdr:row>
      <xdr:rowOff>161925</xdr:rowOff>
    </xdr:from>
    <xdr:to>
      <xdr:col>11</xdr:col>
      <xdr:colOff>476250</xdr:colOff>
      <xdr:row>24</xdr:row>
      <xdr:rowOff>28575</xdr:rowOff>
    </xdr:to>
    <xdr:grpSp>
      <xdr:nvGrpSpPr>
        <xdr:cNvPr id="11" name="Group 10"/>
        <xdr:cNvGrpSpPr/>
      </xdr:nvGrpSpPr>
      <xdr:grpSpPr>
        <a:xfrm>
          <a:off x="962025" y="1200150"/>
          <a:ext cx="9001125" cy="3524250"/>
          <a:chOff x="981075" y="1219200"/>
          <a:chExt cx="8486775" cy="3514725"/>
        </a:xfrm>
      </xdr:grpSpPr>
      <xdr:grpSp>
        <xdr:nvGrpSpPr>
          <xdr:cNvPr id="12" name="Group 11"/>
          <xdr:cNvGrpSpPr/>
        </xdr:nvGrpSpPr>
        <xdr:grpSpPr>
          <a:xfrm>
            <a:off x="981075" y="2476500"/>
            <a:ext cx="8486775" cy="2257425"/>
            <a:chOff x="981075" y="2476500"/>
            <a:chExt cx="8486775" cy="2257425"/>
          </a:xfrm>
        </xdr:grpSpPr>
        <xdr:grpSp>
          <xdr:nvGrpSpPr>
            <xdr:cNvPr id="7" name="Group 6"/>
            <xdr:cNvGrpSpPr/>
          </xdr:nvGrpSpPr>
          <xdr:grpSpPr>
            <a:xfrm>
              <a:off x="1333500" y="2476500"/>
              <a:ext cx="8134350" cy="2257425"/>
              <a:chOff x="1028700" y="2552700"/>
              <a:chExt cx="8134350" cy="2257425"/>
            </a:xfrm>
          </xdr:grpSpPr>
          <xdr:pic>
            <xdr:nvPicPr>
              <xdr:cNvPr id="8199"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028700" y="2552700"/>
                <a:ext cx="8134350" cy="2257425"/>
              </a:xfrm>
              <a:prstGeom prst="rect">
                <a:avLst/>
              </a:prstGeom>
              <a:noFill/>
            </xdr:spPr>
          </xdr:pic>
          <xdr:sp macro="" textlink="">
            <xdr:nvSpPr>
              <xdr:cNvPr id="5" name="Rounded Rectangle 4"/>
              <xdr:cNvSpPr/>
            </xdr:nvSpPr>
            <xdr:spPr>
              <a:xfrm>
                <a:off x="1533525" y="3362325"/>
                <a:ext cx="7267575" cy="2667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IN" sz="1100"/>
              </a:p>
            </xdr:txBody>
          </xdr:sp>
          <xdr:sp macro="" textlink="">
            <xdr:nvSpPr>
              <xdr:cNvPr id="6" name="Rounded Rectangle 5"/>
              <xdr:cNvSpPr/>
            </xdr:nvSpPr>
            <xdr:spPr>
              <a:xfrm>
                <a:off x="1524000" y="3771899"/>
                <a:ext cx="7267575" cy="238125"/>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IN" sz="1100"/>
              </a:p>
            </xdr:txBody>
          </xdr:sp>
        </xdr:grpSp>
        <xdr:sp macro="" textlink="">
          <xdr:nvSpPr>
            <xdr:cNvPr id="10" name="TextBox 9"/>
            <xdr:cNvSpPr txBox="1"/>
          </xdr:nvSpPr>
          <xdr:spPr>
            <a:xfrm>
              <a:off x="981075" y="3448050"/>
              <a:ext cx="804516" cy="313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500" b="1">
                  <a:solidFill>
                    <a:srgbClr val="C00000"/>
                  </a:solidFill>
                  <a:latin typeface="Arial" pitchFamily="34" charset="0"/>
                  <a:cs typeface="Arial" pitchFamily="34" charset="0"/>
                </a:rPr>
                <a:t>MINUS</a:t>
              </a:r>
            </a:p>
          </xdr:txBody>
        </xdr:sp>
      </xdr:grpSp>
      <xdr:cxnSp macro="">
        <xdr:nvCxnSpPr>
          <xdr:cNvPr id="14" name="Straight Arrow Connector 13"/>
          <xdr:cNvCxnSpPr/>
        </xdr:nvCxnSpPr>
        <xdr:spPr>
          <a:xfrm>
            <a:off x="1228725" y="1219200"/>
            <a:ext cx="676275" cy="18954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xdr:cNvSpPr txBox="1"/>
        </xdr:nvSpPr>
        <xdr:spPr>
          <a:xfrm>
            <a:off x="3400425" y="2124101"/>
            <a:ext cx="4854919" cy="312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500" b="1" u="sng">
                <a:solidFill>
                  <a:srgbClr val="C00000"/>
                </a:solidFill>
                <a:latin typeface="Arial" pitchFamily="34" charset="0"/>
                <a:cs typeface="Arial" pitchFamily="34" charset="0"/>
              </a:rPr>
              <a:t>Sample Cash Flow Statement (from Annual</a:t>
            </a:r>
            <a:r>
              <a:rPr lang="en-IN" sz="1500" b="1" u="sng" baseline="0">
                <a:solidFill>
                  <a:srgbClr val="C00000"/>
                </a:solidFill>
                <a:latin typeface="Arial" pitchFamily="34" charset="0"/>
                <a:cs typeface="Arial" pitchFamily="34" charset="0"/>
              </a:rPr>
              <a:t> Report)</a:t>
            </a:r>
            <a:endParaRPr lang="en-IN" sz="1500" b="1" u="sng">
              <a:solidFill>
                <a:srgbClr val="C00000"/>
              </a:solidFill>
              <a:latin typeface="Arial" pitchFamily="34" charset="0"/>
              <a:cs typeface="Arial" pitchFamily="34" charset="0"/>
            </a:endParaRPr>
          </a:p>
        </xdr:txBody>
      </xdr:sp>
    </xdr:grpSp>
    <xdr:clientData/>
  </xdr:twoCellAnchor>
  <xdr:twoCellAnchor>
    <xdr:from>
      <xdr:col>11</xdr:col>
      <xdr:colOff>66676</xdr:colOff>
      <xdr:row>5</xdr:row>
      <xdr:rowOff>95250</xdr:rowOff>
    </xdr:from>
    <xdr:to>
      <xdr:col>12</xdr:col>
      <xdr:colOff>628650</xdr:colOff>
      <xdr:row>5</xdr:row>
      <xdr:rowOff>95250</xdr:rowOff>
    </xdr:to>
    <xdr:cxnSp macro="">
      <xdr:nvCxnSpPr>
        <xdr:cNvPr id="13" name="Straight Arrow Connector 12"/>
        <xdr:cNvCxnSpPr/>
      </xdr:nvCxnSpPr>
      <xdr:spPr>
        <a:xfrm flipH="1">
          <a:off x="9039226" y="1133475"/>
          <a:ext cx="1171574"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3</xdr:row>
      <xdr:rowOff>95250</xdr:rowOff>
    </xdr:from>
    <xdr:to>
      <xdr:col>13</xdr:col>
      <xdr:colOff>419100</xdr:colOff>
      <xdr:row>3</xdr:row>
      <xdr:rowOff>95250</xdr:rowOff>
    </xdr:to>
    <xdr:cxnSp macro="">
      <xdr:nvCxnSpPr>
        <xdr:cNvPr id="3" name="Straight Arrow Connector 2"/>
        <xdr:cNvCxnSpPr/>
      </xdr:nvCxnSpPr>
      <xdr:spPr>
        <a:xfrm flipH="1">
          <a:off x="8001000" y="752475"/>
          <a:ext cx="1266825" cy="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114301</xdr:colOff>
      <xdr:row>3</xdr:row>
      <xdr:rowOff>95250</xdr:rowOff>
    </xdr:from>
    <xdr:to>
      <xdr:col>13</xdr:col>
      <xdr:colOff>447675</xdr:colOff>
      <xdr:row>4</xdr:row>
      <xdr:rowOff>95250</xdr:rowOff>
    </xdr:to>
    <xdr:cxnSp macro="">
      <xdr:nvCxnSpPr>
        <xdr:cNvPr id="4" name="Straight Arrow Connector 3"/>
        <xdr:cNvCxnSpPr/>
      </xdr:nvCxnSpPr>
      <xdr:spPr>
        <a:xfrm flipH="1">
          <a:off x="7991476" y="752475"/>
          <a:ext cx="1304924" cy="19050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8</xdr:row>
      <xdr:rowOff>133350</xdr:rowOff>
    </xdr:from>
    <xdr:to>
      <xdr:col>13</xdr:col>
      <xdr:colOff>447675</xdr:colOff>
      <xdr:row>10</xdr:row>
      <xdr:rowOff>95250</xdr:rowOff>
    </xdr:to>
    <xdr:cxnSp macro="">
      <xdr:nvCxnSpPr>
        <xdr:cNvPr id="6" name="Straight Arrow Connector 5"/>
        <xdr:cNvCxnSpPr/>
      </xdr:nvCxnSpPr>
      <xdr:spPr>
        <a:xfrm rot="10800000">
          <a:off x="8353425" y="1752600"/>
          <a:ext cx="1371600" cy="36195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104775</xdr:rowOff>
    </xdr:from>
    <xdr:to>
      <xdr:col>13</xdr:col>
      <xdr:colOff>419100</xdr:colOff>
      <xdr:row>16</xdr:row>
      <xdr:rowOff>114300</xdr:rowOff>
    </xdr:to>
    <xdr:cxnSp macro="">
      <xdr:nvCxnSpPr>
        <xdr:cNvPr id="8" name="Straight Arrow Connector 7"/>
        <xdr:cNvCxnSpPr/>
      </xdr:nvCxnSpPr>
      <xdr:spPr>
        <a:xfrm rot="10800000">
          <a:off x="8343900" y="2905125"/>
          <a:ext cx="1352550" cy="457200"/>
        </a:xfrm>
        <a:prstGeom prst="straightConnector1">
          <a:avLst/>
        </a:prstGeom>
        <a:ln w="222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shal/Business/Safal%20Niveshak/Investing%20Excels%20&amp;%20Templates/OSV_DCF_Spreadsheet_Free-201007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sclaimer"/>
      <sheetName val="DCF Valuation"/>
      <sheetName val="Data"/>
    </sheetNames>
    <sheetDataSet>
      <sheetData sheetId="0"/>
      <sheetData sheetId="1">
        <row r="13">
          <cell r="N13">
            <v>0.15</v>
          </cell>
        </row>
        <row r="14">
          <cell r="N14">
            <v>0.12</v>
          </cell>
        </row>
        <row r="15">
          <cell r="N15">
            <v>0.09</v>
          </cell>
        </row>
        <row r="16">
          <cell r="N16">
            <v>0.05</v>
          </cell>
        </row>
      </sheetData>
      <sheetData sheetId="2">
        <row r="1">
          <cell r="C1" t="str">
            <v>Financial Data</v>
          </cell>
        </row>
        <row r="2">
          <cell r="A2" t="str">
            <v>AAPL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www.safalniveshak.com/value-stocks-using-dcf/"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goo.gl/F4PjL7" TargetMode="External"/></Relationships>
</file>

<file path=xl/worksheets/sheet1.xml><?xml version="1.0" encoding="utf-8"?>
<worksheet xmlns="http://schemas.openxmlformats.org/spreadsheetml/2006/main" xmlns:r="http://schemas.openxmlformats.org/officeDocument/2006/relationships">
  <dimension ref="A1:M27"/>
  <sheetViews>
    <sheetView tabSelected="1" workbookViewId="0">
      <selection sqref="A1:B5"/>
    </sheetView>
  </sheetViews>
  <sheetFormatPr defaultRowHeight="15"/>
  <cols>
    <col min="1" max="1" width="58.85546875" style="134" customWidth="1"/>
    <col min="2" max="2" width="29.140625" style="134" customWidth="1"/>
    <col min="3" max="16384" width="9.140625" style="134"/>
  </cols>
  <sheetData>
    <row r="1" spans="1:13">
      <c r="A1" s="177" t="s">
        <v>177</v>
      </c>
      <c r="B1" s="178"/>
    </row>
    <row r="2" spans="1:13" ht="15" customHeight="1" thickBot="1">
      <c r="A2" s="179"/>
      <c r="B2" s="180"/>
    </row>
    <row r="3" spans="1:13" ht="15" customHeight="1">
      <c r="A3" s="179"/>
      <c r="B3" s="180"/>
      <c r="E3" s="154" t="s">
        <v>179</v>
      </c>
      <c r="F3" s="155"/>
      <c r="G3" s="155"/>
      <c r="H3" s="155"/>
      <c r="I3" s="155"/>
      <c r="J3" s="155"/>
      <c r="K3" s="155"/>
      <c r="L3" s="155"/>
      <c r="M3" s="156"/>
    </row>
    <row r="4" spans="1:13" ht="15" customHeight="1">
      <c r="A4" s="179"/>
      <c r="B4" s="180"/>
      <c r="E4" s="157"/>
      <c r="F4" s="158"/>
      <c r="G4" s="158"/>
      <c r="H4" s="158"/>
      <c r="I4" s="158"/>
      <c r="J4" s="158"/>
      <c r="K4" s="158"/>
      <c r="L4" s="158"/>
      <c r="M4" s="159"/>
    </row>
    <row r="5" spans="1:13" ht="15.75" customHeight="1" thickBot="1">
      <c r="A5" s="181"/>
      <c r="B5" s="182"/>
      <c r="E5" s="157"/>
      <c r="F5" s="158"/>
      <c r="G5" s="158"/>
      <c r="H5" s="158"/>
      <c r="I5" s="158"/>
      <c r="J5" s="158"/>
      <c r="K5" s="158"/>
      <c r="L5" s="158"/>
      <c r="M5" s="159"/>
    </row>
    <row r="6" spans="1:13" ht="16.5" thickBot="1">
      <c r="A6" s="183" t="s">
        <v>176</v>
      </c>
      <c r="B6" s="183"/>
      <c r="E6" s="157"/>
      <c r="F6" s="158"/>
      <c r="G6" s="158"/>
      <c r="H6" s="158"/>
      <c r="I6" s="158"/>
      <c r="J6" s="158"/>
      <c r="K6" s="158"/>
      <c r="L6" s="158"/>
      <c r="M6" s="159"/>
    </row>
    <row r="7" spans="1:13" ht="20.25" thickBot="1">
      <c r="A7" s="171" t="s">
        <v>185</v>
      </c>
      <c r="B7" s="172"/>
      <c r="E7" s="160"/>
      <c r="F7" s="161"/>
      <c r="G7" s="161"/>
      <c r="H7" s="161"/>
      <c r="I7" s="161"/>
      <c r="J7" s="161"/>
      <c r="K7" s="161"/>
      <c r="L7" s="161"/>
      <c r="M7" s="162"/>
    </row>
    <row r="8" spans="1:13" ht="15.75" customHeight="1">
      <c r="A8" s="175" t="s">
        <v>209</v>
      </c>
      <c r="B8" s="176"/>
    </row>
    <row r="9" spans="1:13" ht="15.75" customHeight="1">
      <c r="A9" s="250" t="s">
        <v>211</v>
      </c>
      <c r="B9" s="251"/>
    </row>
    <row r="10" spans="1:13" ht="16.5" thickBot="1">
      <c r="A10" s="139" t="s">
        <v>147</v>
      </c>
      <c r="B10" s="140" t="s">
        <v>148</v>
      </c>
    </row>
    <row r="11" spans="1:13" ht="15.75">
      <c r="A11" s="81" t="s">
        <v>143</v>
      </c>
      <c r="B11" s="142" t="s">
        <v>186</v>
      </c>
      <c r="E11" s="154" t="s">
        <v>180</v>
      </c>
      <c r="F11" s="163"/>
      <c r="G11" s="163"/>
      <c r="H11" s="163"/>
      <c r="I11" s="163"/>
      <c r="J11" s="163"/>
      <c r="K11" s="163"/>
      <c r="L11" s="163"/>
      <c r="M11" s="164"/>
    </row>
    <row r="12" spans="1:13" ht="15.75" customHeight="1">
      <c r="A12" s="81" t="s">
        <v>142</v>
      </c>
      <c r="B12" s="142" t="s">
        <v>184</v>
      </c>
      <c r="E12" s="165"/>
      <c r="F12" s="166"/>
      <c r="G12" s="166"/>
      <c r="H12" s="166"/>
      <c r="I12" s="166"/>
      <c r="J12" s="166"/>
      <c r="K12" s="166"/>
      <c r="L12" s="166"/>
      <c r="M12" s="167"/>
    </row>
    <row r="13" spans="1:13" ht="15.75">
      <c r="A13" s="143" t="s">
        <v>161</v>
      </c>
      <c r="B13" s="142" t="s">
        <v>145</v>
      </c>
      <c r="E13" s="165"/>
      <c r="F13" s="166"/>
      <c r="G13" s="166"/>
      <c r="H13" s="166"/>
      <c r="I13" s="166"/>
      <c r="J13" s="166"/>
      <c r="K13" s="166"/>
      <c r="L13" s="166"/>
      <c r="M13" s="167"/>
    </row>
    <row r="14" spans="1:13" ht="16.5" thickBot="1">
      <c r="A14" s="81" t="s">
        <v>144</v>
      </c>
      <c r="B14" s="144">
        <v>2650</v>
      </c>
      <c r="E14" s="168"/>
      <c r="F14" s="169"/>
      <c r="G14" s="169"/>
      <c r="H14" s="169"/>
      <c r="I14" s="169"/>
      <c r="J14" s="169"/>
      <c r="K14" s="169"/>
      <c r="L14" s="169"/>
      <c r="M14" s="170"/>
    </row>
    <row r="15" spans="1:13" ht="15.75">
      <c r="A15" s="81" t="s">
        <v>151</v>
      </c>
      <c r="B15" s="144">
        <v>2</v>
      </c>
    </row>
    <row r="16" spans="1:13" ht="15.75" customHeight="1" thickBot="1">
      <c r="A16" s="81" t="s">
        <v>146</v>
      </c>
      <c r="B16" s="144">
        <v>19.97</v>
      </c>
    </row>
    <row r="17" spans="1:13" ht="15.75">
      <c r="A17" s="81" t="s">
        <v>150</v>
      </c>
      <c r="B17" s="145">
        <f>B14*B16</f>
        <v>52920.5</v>
      </c>
      <c r="E17" s="154" t="s">
        <v>181</v>
      </c>
      <c r="F17" s="155"/>
      <c r="G17" s="155"/>
      <c r="H17" s="155"/>
      <c r="I17" s="155"/>
      <c r="J17" s="155"/>
      <c r="K17" s="155"/>
      <c r="L17" s="155"/>
      <c r="M17" s="156"/>
    </row>
    <row r="18" spans="1:13" ht="16.5" thickBot="1">
      <c r="A18" s="133"/>
      <c r="B18" s="135"/>
      <c r="E18" s="157"/>
      <c r="F18" s="158"/>
      <c r="G18" s="158"/>
      <c r="H18" s="158"/>
      <c r="I18" s="158"/>
      <c r="J18" s="158"/>
      <c r="K18" s="158"/>
      <c r="L18" s="158"/>
      <c r="M18" s="159"/>
    </row>
    <row r="19" spans="1:13" ht="19.5">
      <c r="A19" s="173" t="s">
        <v>149</v>
      </c>
      <c r="B19" s="174"/>
      <c r="E19" s="157"/>
      <c r="F19" s="158"/>
      <c r="G19" s="158"/>
      <c r="H19" s="158"/>
      <c r="I19" s="158"/>
      <c r="J19" s="158"/>
      <c r="K19" s="158"/>
      <c r="L19" s="158"/>
      <c r="M19" s="159"/>
    </row>
    <row r="20" spans="1:13" ht="16.5" customHeight="1">
      <c r="A20" s="139" t="s">
        <v>147</v>
      </c>
      <c r="B20" s="140" t="s">
        <v>148</v>
      </c>
      <c r="E20" s="157"/>
      <c r="F20" s="158"/>
      <c r="G20" s="158"/>
      <c r="H20" s="158"/>
      <c r="I20" s="158"/>
      <c r="J20" s="158"/>
      <c r="K20" s="158"/>
      <c r="L20" s="158"/>
      <c r="M20" s="159"/>
    </row>
    <row r="21" spans="1:13" ht="15.75">
      <c r="A21" s="81" t="s">
        <v>152</v>
      </c>
      <c r="B21" s="147">
        <f>'P &amp; L Account'!L4</f>
        <v>0.14586432050234266</v>
      </c>
      <c r="E21" s="157"/>
      <c r="F21" s="158"/>
      <c r="G21" s="158"/>
      <c r="H21" s="158"/>
      <c r="I21" s="158"/>
      <c r="J21" s="158"/>
      <c r="K21" s="158"/>
      <c r="L21" s="158"/>
      <c r="M21" s="159"/>
    </row>
    <row r="22" spans="1:13" ht="15.75">
      <c r="A22" s="81" t="s">
        <v>153</v>
      </c>
      <c r="B22" s="147">
        <f>'P &amp; L Account'!L15</f>
        <v>0.14459935641423738</v>
      </c>
      <c r="E22" s="157"/>
      <c r="F22" s="158"/>
      <c r="G22" s="158"/>
      <c r="H22" s="158"/>
      <c r="I22" s="158"/>
      <c r="J22" s="158"/>
      <c r="K22" s="158"/>
      <c r="L22" s="158"/>
      <c r="M22" s="159"/>
    </row>
    <row r="23" spans="1:13" ht="15.75">
      <c r="A23" s="81" t="s">
        <v>154</v>
      </c>
      <c r="B23" s="147">
        <f>'P &amp; L Account'!L27</f>
        <v>0.11211751046658436</v>
      </c>
      <c r="E23" s="157"/>
      <c r="F23" s="158"/>
      <c r="G23" s="158"/>
      <c r="H23" s="158"/>
      <c r="I23" s="158"/>
      <c r="J23" s="158"/>
      <c r="K23" s="158"/>
      <c r="L23" s="158"/>
      <c r="M23" s="159"/>
    </row>
    <row r="24" spans="1:13" ht="15.75">
      <c r="A24" s="81" t="s">
        <v>178</v>
      </c>
      <c r="B24" s="148">
        <f>AVERAGE(Ratios!B32:K32)</f>
        <v>0.11764633207841786</v>
      </c>
      <c r="E24" s="157"/>
      <c r="F24" s="158"/>
      <c r="G24" s="158"/>
      <c r="H24" s="158"/>
      <c r="I24" s="158"/>
      <c r="J24" s="158"/>
      <c r="K24" s="158"/>
      <c r="L24" s="158"/>
      <c r="M24" s="159"/>
    </row>
    <row r="25" spans="1:13" ht="16.5" thickBot="1">
      <c r="A25" s="146" t="s">
        <v>155</v>
      </c>
      <c r="B25" s="221">
        <f>AVERAGE(Ratios!B15:K15)</f>
        <v>0.46851782824379046</v>
      </c>
      <c r="E25" s="160"/>
      <c r="F25" s="161"/>
      <c r="G25" s="161"/>
      <c r="H25" s="161"/>
      <c r="I25" s="161"/>
      <c r="J25" s="161"/>
      <c r="K25" s="161"/>
      <c r="L25" s="161"/>
      <c r="M25" s="162"/>
    </row>
    <row r="27" spans="1:13">
      <c r="A27" s="153"/>
    </row>
  </sheetData>
  <mergeCells count="9">
    <mergeCell ref="E3:M7"/>
    <mergeCell ref="E11:M14"/>
    <mergeCell ref="E17:M25"/>
    <mergeCell ref="A7:B7"/>
    <mergeCell ref="A19:B19"/>
    <mergeCell ref="A8:B8"/>
    <mergeCell ref="A1:B5"/>
    <mergeCell ref="A6:B6"/>
    <mergeCell ref="A9:B9"/>
  </mergeCells>
  <hyperlinks>
    <hyperlink ref="A6"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dimension ref="A1:B26"/>
  <sheetViews>
    <sheetView workbookViewId="0">
      <selection sqref="A1:B1"/>
    </sheetView>
  </sheetViews>
  <sheetFormatPr defaultRowHeight="15"/>
  <cols>
    <col min="1" max="1" width="65.28515625" style="3" bestFit="1" customWidth="1"/>
    <col min="2" max="2" width="121.28515625" style="3" customWidth="1"/>
    <col min="3" max="3" width="92.5703125" style="3" bestFit="1" customWidth="1"/>
    <col min="4" max="16384" width="9.140625" style="3"/>
  </cols>
  <sheetData>
    <row r="1" spans="1:2" s="40" customFormat="1" ht="27" thickBot="1">
      <c r="A1" s="184" t="s">
        <v>169</v>
      </c>
      <c r="B1" s="185"/>
    </row>
    <row r="2" spans="1:2" ht="15.75" thickBot="1">
      <c r="A2" s="186" t="s">
        <v>139</v>
      </c>
      <c r="B2" s="186"/>
    </row>
    <row r="3" spans="1:2" ht="15.75">
      <c r="A3" s="116" t="s">
        <v>133</v>
      </c>
      <c r="B3" s="117" t="s">
        <v>134</v>
      </c>
    </row>
    <row r="4" spans="1:2" ht="75.75" thickBot="1">
      <c r="A4" s="118" t="s">
        <v>121</v>
      </c>
      <c r="B4" s="119" t="s">
        <v>130</v>
      </c>
    </row>
    <row r="5" spans="1:2" ht="15.75" thickBot="1">
      <c r="A5" s="41"/>
      <c r="B5" s="42"/>
    </row>
    <row r="6" spans="1:2" ht="90.75" thickBot="1">
      <c r="A6" s="120" t="s">
        <v>131</v>
      </c>
      <c r="B6" s="121" t="s">
        <v>137</v>
      </c>
    </row>
    <row r="7" spans="1:2" ht="16.5" thickBot="1">
      <c r="A7" s="43"/>
      <c r="B7" s="41"/>
    </row>
    <row r="8" spans="1:2" ht="45.75" thickBot="1">
      <c r="A8" s="120" t="s">
        <v>122</v>
      </c>
      <c r="B8" s="121" t="s">
        <v>162</v>
      </c>
    </row>
    <row r="9" spans="1:2" ht="16.5" thickBot="1">
      <c r="A9" s="43"/>
      <c r="B9" s="41"/>
    </row>
    <row r="10" spans="1:2" ht="90.75" thickBot="1">
      <c r="A10" s="120" t="s">
        <v>123</v>
      </c>
      <c r="B10" s="121" t="s">
        <v>163</v>
      </c>
    </row>
    <row r="11" spans="1:2" ht="15.75">
      <c r="A11" s="43"/>
      <c r="B11" s="41"/>
    </row>
    <row r="12" spans="1:2" ht="60">
      <c r="A12" s="44" t="s">
        <v>124</v>
      </c>
      <c r="B12" s="37" t="s">
        <v>164</v>
      </c>
    </row>
    <row r="13" spans="1:2" ht="16.5" thickBot="1">
      <c r="A13" s="43"/>
      <c r="B13" s="41"/>
    </row>
    <row r="14" spans="1:2" ht="60.75" thickBot="1">
      <c r="A14" s="120" t="s">
        <v>125</v>
      </c>
      <c r="B14" s="121" t="s">
        <v>174</v>
      </c>
    </row>
    <row r="15" spans="1:2" ht="16.5" thickBot="1">
      <c r="A15" s="43"/>
      <c r="B15" s="41"/>
    </row>
    <row r="16" spans="1:2" ht="45.75" thickBot="1">
      <c r="A16" s="120" t="s">
        <v>126</v>
      </c>
      <c r="B16" s="121" t="s">
        <v>165</v>
      </c>
    </row>
    <row r="17" spans="1:2" ht="16.5" thickBot="1">
      <c r="A17" s="43"/>
      <c r="B17" s="41"/>
    </row>
    <row r="18" spans="1:2" ht="45.75" thickBot="1">
      <c r="A18" s="120" t="s">
        <v>127</v>
      </c>
      <c r="B18" s="121" t="s">
        <v>166</v>
      </c>
    </row>
    <row r="19" spans="1:2" ht="16.5" thickBot="1">
      <c r="A19" s="43"/>
      <c r="B19" s="41"/>
    </row>
    <row r="20" spans="1:2" ht="45.75" thickBot="1">
      <c r="A20" s="120" t="s">
        <v>128</v>
      </c>
      <c r="B20" s="121" t="s">
        <v>175</v>
      </c>
    </row>
    <row r="21" spans="1:2" ht="16.5" thickBot="1">
      <c r="A21" s="43"/>
      <c r="B21" s="41"/>
    </row>
    <row r="22" spans="1:2" ht="75.75" thickBot="1">
      <c r="A22" s="120" t="s">
        <v>129</v>
      </c>
      <c r="B22" s="121" t="s">
        <v>167</v>
      </c>
    </row>
    <row r="23" spans="1:2" ht="15.75" thickBot="1">
      <c r="A23" s="150"/>
      <c r="B23" s="150"/>
    </row>
    <row r="24" spans="1:2" ht="60.75" thickBot="1">
      <c r="A24" s="120" t="s">
        <v>135</v>
      </c>
      <c r="B24" s="121" t="s">
        <v>168</v>
      </c>
    </row>
    <row r="25" spans="1:2" ht="15.75" thickBot="1">
      <c r="A25" s="42"/>
      <c r="B25" s="42"/>
    </row>
    <row r="26" spans="1:2" ht="16.5" thickBot="1">
      <c r="A26" s="120" t="s">
        <v>136</v>
      </c>
      <c r="B26" s="121" t="s">
        <v>212</v>
      </c>
    </row>
  </sheetData>
  <mergeCells count="2">
    <mergeCell ref="A1:B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W32"/>
  <sheetViews>
    <sheetView workbookViewId="0">
      <selection sqref="A1:K1"/>
    </sheetView>
  </sheetViews>
  <sheetFormatPr defaultRowHeight="15"/>
  <cols>
    <col min="1" max="1" width="52.7109375" style="3" bestFit="1" customWidth="1"/>
    <col min="2" max="10" width="8.42578125" style="3" bestFit="1" customWidth="1"/>
    <col min="11" max="11" width="10.140625" style="3" bestFit="1" customWidth="1"/>
    <col min="12" max="12" width="9.140625" style="3"/>
    <col min="13" max="13" width="20.42578125" style="3" bestFit="1" customWidth="1"/>
    <col min="14" max="14" width="18.28515625" style="3" bestFit="1" customWidth="1"/>
    <col min="15" max="15" width="14.85546875" style="3" bestFit="1" customWidth="1"/>
    <col min="16" max="16384" width="9.140625" style="3"/>
  </cols>
  <sheetData>
    <row r="1" spans="1:49" ht="20.25" thickBot="1">
      <c r="A1" s="187" t="s">
        <v>187</v>
      </c>
      <c r="B1" s="188"/>
      <c r="C1" s="188"/>
      <c r="D1" s="188"/>
      <c r="E1" s="188"/>
      <c r="F1" s="188"/>
      <c r="G1" s="188"/>
      <c r="H1" s="188"/>
      <c r="I1" s="188"/>
      <c r="J1" s="188"/>
      <c r="K1" s="189"/>
    </row>
    <row r="2" spans="1:49" ht="15.75" thickBot="1">
      <c r="A2" s="190" t="s">
        <v>209</v>
      </c>
      <c r="B2" s="191"/>
      <c r="C2" s="191"/>
      <c r="D2" s="191"/>
      <c r="E2" s="191"/>
      <c r="F2" s="191"/>
      <c r="G2" s="191"/>
      <c r="H2" s="191"/>
      <c r="I2" s="191"/>
      <c r="J2" s="191"/>
      <c r="K2" s="192"/>
    </row>
    <row r="3" spans="1:49" ht="15.75">
      <c r="A3" s="63" t="s">
        <v>140</v>
      </c>
      <c r="B3" s="64" t="s">
        <v>23</v>
      </c>
      <c r="C3" s="64" t="s">
        <v>22</v>
      </c>
      <c r="D3" s="64" t="s">
        <v>24</v>
      </c>
      <c r="E3" s="64" t="s">
        <v>25</v>
      </c>
      <c r="F3" s="64" t="s">
        <v>26</v>
      </c>
      <c r="G3" s="64" t="s">
        <v>16</v>
      </c>
      <c r="H3" s="64" t="s">
        <v>17</v>
      </c>
      <c r="I3" s="64" t="s">
        <v>18</v>
      </c>
      <c r="J3" s="64" t="s">
        <v>19</v>
      </c>
      <c r="K3" s="65" t="s">
        <v>188</v>
      </c>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ht="15.75">
      <c r="A4" s="108" t="s">
        <v>97</v>
      </c>
      <c r="B4" s="105"/>
      <c r="C4" s="105"/>
      <c r="D4" s="105"/>
      <c r="E4" s="105"/>
      <c r="F4" s="105"/>
      <c r="G4" s="105"/>
      <c r="H4" s="105"/>
      <c r="I4" s="105"/>
      <c r="J4" s="105"/>
      <c r="K4" s="109"/>
    </row>
    <row r="5" spans="1:49">
      <c r="A5" s="126" t="s">
        <v>9</v>
      </c>
      <c r="B5" s="123">
        <v>39.94</v>
      </c>
      <c r="C5" s="123">
        <v>39.94</v>
      </c>
      <c r="D5" s="123">
        <v>39.94</v>
      </c>
      <c r="E5" s="123">
        <v>39.94</v>
      </c>
      <c r="F5" s="123">
        <v>39.94</v>
      </c>
      <c r="G5" s="123">
        <v>39.94</v>
      </c>
      <c r="H5" s="123">
        <v>39.94</v>
      </c>
      <c r="I5" s="123">
        <v>39.94</v>
      </c>
      <c r="J5" s="123">
        <v>39.94</v>
      </c>
      <c r="K5" s="124">
        <v>39.94</v>
      </c>
      <c r="L5" s="2"/>
      <c r="M5" s="2"/>
    </row>
    <row r="6" spans="1:49">
      <c r="A6" s="126" t="s">
        <v>93</v>
      </c>
      <c r="B6" s="123">
        <v>1453.44</v>
      </c>
      <c r="C6" s="123">
        <v>1969.39</v>
      </c>
      <c r="D6" s="123">
        <v>2430.12</v>
      </c>
      <c r="E6" s="123">
        <v>2946.3</v>
      </c>
      <c r="F6" s="123">
        <v>3760.81</v>
      </c>
      <c r="G6" s="123">
        <v>3425.08</v>
      </c>
      <c r="H6" s="123">
        <v>2916.12</v>
      </c>
      <c r="I6" s="123">
        <v>4249.8900000000003</v>
      </c>
      <c r="J6" s="123">
        <v>4966.3</v>
      </c>
      <c r="K6" s="124">
        <v>5559.93</v>
      </c>
      <c r="L6" s="2"/>
      <c r="M6" s="2"/>
    </row>
    <row r="7" spans="1:49" ht="15.75">
      <c r="A7" s="110" t="s">
        <v>14</v>
      </c>
      <c r="B7" s="97">
        <f t="shared" ref="B7:J7" si="0">B5+B6</f>
        <v>1493.38</v>
      </c>
      <c r="C7" s="97">
        <f t="shared" si="0"/>
        <v>2009.3300000000002</v>
      </c>
      <c r="D7" s="97">
        <f t="shared" si="0"/>
        <v>2470.06</v>
      </c>
      <c r="E7" s="97">
        <f t="shared" si="0"/>
        <v>2986.2400000000002</v>
      </c>
      <c r="F7" s="97">
        <f t="shared" si="0"/>
        <v>3800.75</v>
      </c>
      <c r="G7" s="97">
        <f t="shared" si="0"/>
        <v>3465.02</v>
      </c>
      <c r="H7" s="97">
        <f t="shared" si="0"/>
        <v>2956.06</v>
      </c>
      <c r="I7" s="97">
        <f t="shared" si="0"/>
        <v>4289.83</v>
      </c>
      <c r="J7" s="97">
        <f t="shared" si="0"/>
        <v>5006.24</v>
      </c>
      <c r="K7" s="111">
        <f>K5+K6</f>
        <v>5599.87</v>
      </c>
      <c r="L7" s="2"/>
      <c r="M7" s="2"/>
    </row>
    <row r="8" spans="1:49" ht="15.75">
      <c r="A8" s="112"/>
      <c r="B8" s="106"/>
      <c r="C8" s="106"/>
      <c r="D8" s="106"/>
      <c r="E8" s="106"/>
      <c r="F8" s="106"/>
      <c r="G8" s="106"/>
      <c r="H8" s="106"/>
      <c r="I8" s="106"/>
      <c r="J8" s="106"/>
      <c r="K8" s="113"/>
      <c r="L8" s="2"/>
      <c r="M8" s="2"/>
    </row>
    <row r="9" spans="1:49" ht="15.75">
      <c r="A9" s="110" t="s">
        <v>94</v>
      </c>
      <c r="B9" s="97"/>
      <c r="C9" s="97"/>
      <c r="D9" s="97"/>
      <c r="E9" s="97"/>
      <c r="F9" s="97"/>
      <c r="G9" s="97"/>
      <c r="H9" s="97"/>
      <c r="I9" s="97"/>
      <c r="J9" s="97"/>
      <c r="K9" s="111"/>
      <c r="L9" s="2"/>
      <c r="M9" s="2"/>
    </row>
    <row r="10" spans="1:49">
      <c r="A10" s="126" t="s">
        <v>95</v>
      </c>
      <c r="B10" s="123">
        <v>201.76</v>
      </c>
      <c r="C10" s="123">
        <v>185.78</v>
      </c>
      <c r="D10" s="123">
        <v>165.17</v>
      </c>
      <c r="E10" s="123">
        <v>132</v>
      </c>
      <c r="F10" s="123">
        <v>78.489999999999995</v>
      </c>
      <c r="G10" s="123">
        <v>66.03</v>
      </c>
      <c r="H10" s="123">
        <v>1471.04</v>
      </c>
      <c r="I10" s="123">
        <v>1011.39</v>
      </c>
      <c r="J10" s="123">
        <v>302.16000000000003</v>
      </c>
      <c r="K10" s="124">
        <v>24.45</v>
      </c>
      <c r="L10" s="2"/>
      <c r="M10" s="2"/>
    </row>
    <row r="11" spans="1:49">
      <c r="A11" s="86"/>
      <c r="B11" s="29"/>
      <c r="C11" s="29"/>
      <c r="D11" s="29"/>
      <c r="E11" s="29"/>
      <c r="F11" s="29"/>
      <c r="G11" s="29"/>
      <c r="H11" s="29"/>
      <c r="I11" s="29"/>
      <c r="J11" s="29"/>
      <c r="K11" s="94"/>
      <c r="L11" s="2"/>
      <c r="M11" s="2"/>
    </row>
    <row r="12" spans="1:49" ht="15.75">
      <c r="A12" s="110" t="s">
        <v>13</v>
      </c>
      <c r="B12" s="33">
        <f>SUM(B13:B16)</f>
        <v>1500.47</v>
      </c>
      <c r="C12" s="33">
        <f t="shared" ref="C12:K12" si="1">SUM(C13:C16)</f>
        <v>1562.8000000000002</v>
      </c>
      <c r="D12" s="33">
        <f t="shared" si="1"/>
        <v>1479.16</v>
      </c>
      <c r="E12" s="33">
        <f t="shared" si="1"/>
        <v>1824.74</v>
      </c>
      <c r="F12" s="33">
        <f t="shared" si="1"/>
        <v>2052.8199999999997</v>
      </c>
      <c r="G12" s="33">
        <f t="shared" si="1"/>
        <v>4831.41</v>
      </c>
      <c r="H12" s="33">
        <f t="shared" si="1"/>
        <v>6016.71</v>
      </c>
      <c r="I12" s="33">
        <f t="shared" si="1"/>
        <v>4341.4399999999996</v>
      </c>
      <c r="J12" s="33">
        <f t="shared" si="1"/>
        <v>4170.68</v>
      </c>
      <c r="K12" s="99">
        <f t="shared" si="1"/>
        <v>5527.1100000000006</v>
      </c>
      <c r="L12" s="2"/>
      <c r="M12" s="2"/>
    </row>
    <row r="13" spans="1:49">
      <c r="A13" s="126" t="s">
        <v>99</v>
      </c>
      <c r="B13" s="123">
        <v>0</v>
      </c>
      <c r="C13" s="123">
        <v>0</v>
      </c>
      <c r="D13" s="123">
        <v>0</v>
      </c>
      <c r="E13" s="123">
        <v>0</v>
      </c>
      <c r="F13" s="123">
        <v>0</v>
      </c>
      <c r="G13" s="123">
        <v>0</v>
      </c>
      <c r="H13" s="123">
        <v>0</v>
      </c>
      <c r="I13" s="123">
        <v>0</v>
      </c>
      <c r="J13" s="123">
        <v>0</v>
      </c>
      <c r="K13" s="123">
        <v>0</v>
      </c>
      <c r="L13" s="2"/>
      <c r="M13" s="2"/>
    </row>
    <row r="14" spans="1:49">
      <c r="A14" s="126" t="s">
        <v>96</v>
      </c>
      <c r="B14" s="123">
        <v>661.96</v>
      </c>
      <c r="C14" s="123">
        <v>646.27</v>
      </c>
      <c r="D14" s="123">
        <v>554.82000000000005</v>
      </c>
      <c r="E14" s="123">
        <v>756.07</v>
      </c>
      <c r="F14" s="123">
        <v>703.03</v>
      </c>
      <c r="G14" s="123">
        <v>1111.44</v>
      </c>
      <c r="H14" s="123">
        <v>2073.3000000000002</v>
      </c>
      <c r="I14" s="123">
        <v>2293.17</v>
      </c>
      <c r="J14" s="123">
        <v>1873.34</v>
      </c>
      <c r="K14" s="124">
        <v>2290.59</v>
      </c>
      <c r="L14" s="2"/>
      <c r="M14" s="2"/>
    </row>
    <row r="15" spans="1:49">
      <c r="A15" s="126" t="s">
        <v>108</v>
      </c>
      <c r="B15" s="123">
        <v>353.8</v>
      </c>
      <c r="C15" s="123">
        <v>426.61</v>
      </c>
      <c r="D15" s="123">
        <v>487.1</v>
      </c>
      <c r="E15" s="123">
        <v>568.91</v>
      </c>
      <c r="F15" s="123">
        <v>822.82</v>
      </c>
      <c r="G15" s="123">
        <v>2693.62</v>
      </c>
      <c r="H15" s="123">
        <v>2898.02</v>
      </c>
      <c r="I15" s="123">
        <v>996.2</v>
      </c>
      <c r="J15" s="123">
        <v>887.64</v>
      </c>
      <c r="K15" s="124">
        <v>588.08000000000004</v>
      </c>
      <c r="L15" s="2"/>
      <c r="M15" s="2"/>
    </row>
    <row r="16" spans="1:49">
      <c r="A16" s="126" t="s">
        <v>107</v>
      </c>
      <c r="B16" s="123">
        <v>484.71</v>
      </c>
      <c r="C16" s="123">
        <v>489.92</v>
      </c>
      <c r="D16" s="123">
        <v>437.24</v>
      </c>
      <c r="E16" s="123">
        <v>499.76</v>
      </c>
      <c r="F16" s="123">
        <v>526.97</v>
      </c>
      <c r="G16" s="123">
        <v>1026.3499999999999</v>
      </c>
      <c r="H16" s="123">
        <v>1045.3900000000001</v>
      </c>
      <c r="I16" s="123">
        <v>1052.07</v>
      </c>
      <c r="J16" s="123">
        <v>1409.7</v>
      </c>
      <c r="K16" s="124">
        <v>2648.44</v>
      </c>
      <c r="L16" s="2"/>
      <c r="M16" s="2"/>
    </row>
    <row r="17" spans="1:13" ht="15.75">
      <c r="A17" s="114"/>
      <c r="B17" s="52"/>
      <c r="C17" s="52"/>
      <c r="D17" s="52"/>
      <c r="E17" s="52"/>
      <c r="F17" s="52"/>
      <c r="G17" s="52"/>
      <c r="H17" s="52"/>
      <c r="I17" s="52"/>
      <c r="J17" s="52"/>
      <c r="K17" s="68"/>
      <c r="L17" s="2"/>
      <c r="M17" s="7"/>
    </row>
    <row r="18" spans="1:13" ht="15.75">
      <c r="A18" s="108" t="s">
        <v>98</v>
      </c>
      <c r="B18" s="107"/>
      <c r="C18" s="107"/>
      <c r="D18" s="107"/>
      <c r="E18" s="107"/>
      <c r="F18" s="107"/>
      <c r="G18" s="107"/>
      <c r="H18" s="107"/>
      <c r="I18" s="107"/>
      <c r="J18" s="107"/>
      <c r="K18" s="115"/>
      <c r="L18" s="2"/>
      <c r="M18" s="2"/>
    </row>
    <row r="19" spans="1:13" ht="15.75">
      <c r="A19" s="110" t="s">
        <v>100</v>
      </c>
      <c r="B19" s="33">
        <f>SUM(B20:B23)</f>
        <v>880.69</v>
      </c>
      <c r="C19" s="33">
        <f t="shared" ref="C19:K19" si="2">SUM(C20:C23)</f>
        <v>1156.54</v>
      </c>
      <c r="D19" s="33">
        <f t="shared" si="2"/>
        <v>1519.19</v>
      </c>
      <c r="E19" s="33">
        <f t="shared" si="2"/>
        <v>1750.8200000000002</v>
      </c>
      <c r="F19" s="33">
        <f t="shared" si="2"/>
        <v>1832.24</v>
      </c>
      <c r="G19" s="33">
        <f t="shared" si="2"/>
        <v>2054.21</v>
      </c>
      <c r="H19" s="33">
        <f t="shared" si="2"/>
        <v>4595.7</v>
      </c>
      <c r="I19" s="33">
        <f t="shared" si="2"/>
        <v>4498.3100000000004</v>
      </c>
      <c r="J19" s="33">
        <f t="shared" si="2"/>
        <v>3747.54</v>
      </c>
      <c r="K19" s="99">
        <f t="shared" si="2"/>
        <v>3910.2400000000002</v>
      </c>
      <c r="L19" s="2"/>
      <c r="M19" s="2"/>
    </row>
    <row r="20" spans="1:13">
      <c r="A20" s="126" t="s">
        <v>101</v>
      </c>
      <c r="B20" s="123">
        <v>674.48</v>
      </c>
      <c r="C20" s="123">
        <v>949.37</v>
      </c>
      <c r="D20" s="123">
        <v>1165.53</v>
      </c>
      <c r="E20" s="123">
        <v>1156.26</v>
      </c>
      <c r="F20" s="123">
        <v>1573.71</v>
      </c>
      <c r="G20" s="123">
        <v>1658.78</v>
      </c>
      <c r="H20" s="123">
        <v>4080.28</v>
      </c>
      <c r="I20" s="123">
        <v>3785.51</v>
      </c>
      <c r="J20" s="123">
        <v>3070.98</v>
      </c>
      <c r="K20" s="124">
        <v>2243.25</v>
      </c>
      <c r="L20" s="2"/>
      <c r="M20" s="2"/>
    </row>
    <row r="21" spans="1:13">
      <c r="A21" s="129" t="s">
        <v>102</v>
      </c>
      <c r="B21" s="123">
        <v>0</v>
      </c>
      <c r="C21" s="123">
        <v>0</v>
      </c>
      <c r="D21" s="123">
        <v>0</v>
      </c>
      <c r="E21" s="123">
        <v>0</v>
      </c>
      <c r="F21" s="123">
        <v>0</v>
      </c>
      <c r="G21" s="123">
        <v>0</v>
      </c>
      <c r="H21" s="123">
        <v>0</v>
      </c>
      <c r="I21" s="123">
        <v>0</v>
      </c>
      <c r="J21" s="123">
        <v>0</v>
      </c>
      <c r="K21" s="124">
        <f t="shared" ref="C21:K21" si="3">J21*1.1</f>
        <v>0</v>
      </c>
      <c r="L21" s="2"/>
      <c r="M21" s="2"/>
    </row>
    <row r="22" spans="1:13">
      <c r="A22" s="129" t="s">
        <v>120</v>
      </c>
      <c r="B22" s="123">
        <v>40.85</v>
      </c>
      <c r="C22" s="123">
        <v>44.19</v>
      </c>
      <c r="D22" s="123">
        <v>189.92</v>
      </c>
      <c r="E22" s="123">
        <v>392.44</v>
      </c>
      <c r="F22" s="123">
        <v>120.54</v>
      </c>
      <c r="G22" s="123">
        <v>48.14</v>
      </c>
      <c r="H22" s="123">
        <v>49.96</v>
      </c>
      <c r="I22" s="123">
        <v>38.840000000000003</v>
      </c>
      <c r="J22" s="123">
        <v>62.09</v>
      </c>
      <c r="K22" s="124">
        <v>854.11</v>
      </c>
      <c r="L22" s="2"/>
      <c r="M22" s="2"/>
    </row>
    <row r="23" spans="1:13">
      <c r="A23" s="126" t="s">
        <v>103</v>
      </c>
      <c r="B23" s="123">
        <v>165.36</v>
      </c>
      <c r="C23" s="123">
        <v>162.97999999999999</v>
      </c>
      <c r="D23" s="123">
        <v>163.74</v>
      </c>
      <c r="E23" s="123">
        <v>202.12</v>
      </c>
      <c r="F23" s="123">
        <v>137.99</v>
      </c>
      <c r="G23" s="123">
        <v>347.29</v>
      </c>
      <c r="H23" s="123">
        <v>465.46</v>
      </c>
      <c r="I23" s="123">
        <v>673.96</v>
      </c>
      <c r="J23" s="123">
        <v>614.47</v>
      </c>
      <c r="K23" s="124">
        <v>812.88</v>
      </c>
      <c r="L23" s="2"/>
      <c r="M23" s="2"/>
    </row>
    <row r="24" spans="1:13">
      <c r="A24" s="86"/>
      <c r="B24" s="29"/>
      <c r="C24" s="29"/>
      <c r="D24" s="29"/>
      <c r="E24" s="29"/>
      <c r="F24" s="29"/>
      <c r="G24" s="29"/>
      <c r="H24" s="29"/>
      <c r="I24" s="29"/>
      <c r="J24" s="29"/>
      <c r="K24" s="94"/>
      <c r="L24" s="2"/>
      <c r="M24" s="2"/>
    </row>
    <row r="25" spans="1:13" ht="15.75">
      <c r="A25" s="110" t="s">
        <v>104</v>
      </c>
      <c r="B25" s="33">
        <f>SUM(B26:B31)</f>
        <v>2415.8200000000006</v>
      </c>
      <c r="C25" s="33">
        <f t="shared" ref="C25:K25" si="4">SUM(C26:C31)</f>
        <v>2720.15</v>
      </c>
      <c r="D25" s="33">
        <f t="shared" si="4"/>
        <v>2723.4</v>
      </c>
      <c r="E25" s="33">
        <f t="shared" si="4"/>
        <v>3301.48</v>
      </c>
      <c r="F25" s="33">
        <f t="shared" si="4"/>
        <v>4244.2500000000009</v>
      </c>
      <c r="G25" s="33">
        <f t="shared" si="4"/>
        <v>6461</v>
      </c>
      <c r="H25" s="33">
        <f t="shared" si="4"/>
        <v>5771.8400000000011</v>
      </c>
      <c r="I25" s="33">
        <f t="shared" si="4"/>
        <v>4830.96</v>
      </c>
      <c r="J25" s="33">
        <f t="shared" si="4"/>
        <v>5077.6099999999997</v>
      </c>
      <c r="K25" s="99">
        <f t="shared" si="4"/>
        <v>6659.99</v>
      </c>
      <c r="L25" s="2"/>
      <c r="M25" s="2"/>
    </row>
    <row r="26" spans="1:13">
      <c r="A26" s="126" t="s">
        <v>105</v>
      </c>
      <c r="B26" s="123">
        <v>1861.29</v>
      </c>
      <c r="C26" s="123">
        <v>1898.91</v>
      </c>
      <c r="D26" s="123">
        <v>1810.13</v>
      </c>
      <c r="E26" s="123">
        <v>2364.6999999999998</v>
      </c>
      <c r="F26" s="123">
        <v>3230.76</v>
      </c>
      <c r="G26" s="123">
        <v>3578.42</v>
      </c>
      <c r="H26" s="123">
        <v>4663.29</v>
      </c>
      <c r="I26" s="123">
        <v>3290.3</v>
      </c>
      <c r="J26" s="123">
        <v>3009.36</v>
      </c>
      <c r="K26" s="124">
        <v>3275.89</v>
      </c>
      <c r="L26" s="2"/>
      <c r="M26" s="2"/>
    </row>
    <row r="27" spans="1:13">
      <c r="A27" s="129" t="s">
        <v>11</v>
      </c>
      <c r="B27" s="123">
        <v>204.26</v>
      </c>
      <c r="C27" s="123">
        <v>226.55</v>
      </c>
      <c r="D27" s="123">
        <v>275.58</v>
      </c>
      <c r="E27" s="123">
        <v>317.10000000000002</v>
      </c>
      <c r="F27" s="123">
        <v>326.83</v>
      </c>
      <c r="G27" s="123">
        <v>436.4</v>
      </c>
      <c r="H27" s="123">
        <v>524.92999999999995</v>
      </c>
      <c r="I27" s="123">
        <v>675.57</v>
      </c>
      <c r="J27" s="123">
        <v>636.76</v>
      </c>
      <c r="K27" s="124">
        <v>669.55</v>
      </c>
      <c r="L27" s="2"/>
      <c r="M27" s="2"/>
    </row>
    <row r="28" spans="1:13">
      <c r="A28" s="126" t="s">
        <v>106</v>
      </c>
      <c r="B28" s="123">
        <v>89.55</v>
      </c>
      <c r="C28" s="123">
        <v>158.66</v>
      </c>
      <c r="D28" s="123">
        <v>335.25</v>
      </c>
      <c r="E28" s="123">
        <v>297.44</v>
      </c>
      <c r="F28" s="123">
        <v>149.94</v>
      </c>
      <c r="G28" s="123">
        <v>108.39</v>
      </c>
      <c r="H28" s="123">
        <v>130.59</v>
      </c>
      <c r="I28" s="123">
        <v>272.31</v>
      </c>
      <c r="J28" s="123">
        <v>665</v>
      </c>
      <c r="K28" s="124">
        <v>920.58</v>
      </c>
      <c r="L28" s="2"/>
      <c r="M28" s="2"/>
    </row>
    <row r="29" spans="1:13">
      <c r="A29" s="126" t="s">
        <v>110</v>
      </c>
      <c r="B29" s="123">
        <v>17.600000000000001</v>
      </c>
      <c r="C29" s="123">
        <v>158.72</v>
      </c>
      <c r="D29" s="123">
        <v>35.78</v>
      </c>
      <c r="E29" s="123">
        <v>131.09</v>
      </c>
      <c r="F29" s="123">
        <v>219.57</v>
      </c>
      <c r="G29" s="123">
        <v>1907.21</v>
      </c>
      <c r="H29" s="123">
        <v>71.52</v>
      </c>
      <c r="I29" s="123">
        <v>76.819999999999993</v>
      </c>
      <c r="J29" s="123">
        <v>181.04</v>
      </c>
      <c r="K29" s="124">
        <v>117.5</v>
      </c>
      <c r="L29" s="2"/>
      <c r="M29" s="2"/>
    </row>
    <row r="30" spans="1:13">
      <c r="A30" s="126" t="s">
        <v>109</v>
      </c>
      <c r="B30" s="123">
        <v>239.61</v>
      </c>
      <c r="C30" s="123">
        <v>273.77999999999997</v>
      </c>
      <c r="D30" s="123">
        <v>263.06</v>
      </c>
      <c r="E30" s="123">
        <v>185.46</v>
      </c>
      <c r="F30" s="123">
        <v>311.26</v>
      </c>
      <c r="G30" s="123">
        <v>247.28</v>
      </c>
      <c r="H30" s="123">
        <v>123.22</v>
      </c>
      <c r="I30" s="123">
        <v>242.16</v>
      </c>
      <c r="J30" s="123">
        <v>407.4</v>
      </c>
      <c r="K30" s="124">
        <v>1508.88</v>
      </c>
      <c r="L30" s="2"/>
      <c r="M30" s="2"/>
    </row>
    <row r="31" spans="1:13" ht="15.75" thickBot="1">
      <c r="A31" s="130" t="s">
        <v>12</v>
      </c>
      <c r="B31" s="131">
        <v>3.51</v>
      </c>
      <c r="C31" s="131">
        <v>3.53</v>
      </c>
      <c r="D31" s="131">
        <v>3.6</v>
      </c>
      <c r="E31" s="131">
        <v>5.69</v>
      </c>
      <c r="F31" s="131">
        <v>5.89</v>
      </c>
      <c r="G31" s="131">
        <v>183.3</v>
      </c>
      <c r="H31" s="131">
        <v>258.29000000000002</v>
      </c>
      <c r="I31" s="131">
        <v>273.8</v>
      </c>
      <c r="J31" s="131">
        <v>178.05</v>
      </c>
      <c r="K31" s="132">
        <v>167.59</v>
      </c>
      <c r="L31" s="2"/>
      <c r="M31" s="2"/>
    </row>
    <row r="32" spans="1:13">
      <c r="A32" s="1"/>
      <c r="B32" s="4"/>
      <c r="C32" s="4"/>
      <c r="D32" s="4"/>
      <c r="E32" s="4"/>
      <c r="F32" s="4"/>
      <c r="G32" s="4"/>
      <c r="H32" s="4"/>
      <c r="I32" s="4"/>
      <c r="J32" s="4"/>
      <c r="K32" s="4"/>
      <c r="L32" s="2"/>
      <c r="M32" s="2"/>
    </row>
  </sheetData>
  <mergeCells count="2">
    <mergeCell ref="A1:K1"/>
    <mergeCell ref="A2:K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GG89"/>
  <sheetViews>
    <sheetView workbookViewId="0">
      <selection sqref="A1:K1"/>
    </sheetView>
  </sheetViews>
  <sheetFormatPr defaultRowHeight="15"/>
  <cols>
    <col min="1" max="1" width="40.140625" style="3" bestFit="1" customWidth="1"/>
    <col min="2" max="4" width="8.42578125" style="3" bestFit="1" customWidth="1"/>
    <col min="5" max="10" width="9.7109375" style="3" bestFit="1" customWidth="1"/>
    <col min="11" max="11" width="10.140625" style="3" bestFit="1" customWidth="1"/>
    <col min="12" max="12" width="8.85546875" style="3" bestFit="1" customWidth="1"/>
    <col min="13" max="16384" width="9.140625" style="3"/>
  </cols>
  <sheetData>
    <row r="1" spans="1:189" ht="20.25" thickBot="1">
      <c r="A1" s="187" t="s">
        <v>189</v>
      </c>
      <c r="B1" s="188"/>
      <c r="C1" s="188"/>
      <c r="D1" s="188"/>
      <c r="E1" s="188"/>
      <c r="F1" s="188"/>
      <c r="G1" s="188"/>
      <c r="H1" s="188"/>
      <c r="I1" s="188"/>
      <c r="J1" s="188"/>
      <c r="K1" s="189"/>
    </row>
    <row r="2" spans="1:189" ht="16.5" customHeight="1" thickBot="1">
      <c r="A2" s="190" t="s">
        <v>209</v>
      </c>
      <c r="B2" s="191"/>
      <c r="C2" s="191"/>
      <c r="D2" s="191"/>
      <c r="E2" s="191"/>
      <c r="F2" s="191"/>
      <c r="G2" s="191"/>
      <c r="H2" s="191"/>
      <c r="I2" s="191"/>
      <c r="J2" s="191"/>
      <c r="K2" s="192"/>
    </row>
    <row r="3" spans="1:189" ht="15.75">
      <c r="A3" s="63" t="s">
        <v>140</v>
      </c>
      <c r="B3" s="64" t="s">
        <v>23</v>
      </c>
      <c r="C3" s="64" t="s">
        <v>22</v>
      </c>
      <c r="D3" s="64" t="s">
        <v>24</v>
      </c>
      <c r="E3" s="64" t="s">
        <v>25</v>
      </c>
      <c r="F3" s="64" t="s">
        <v>26</v>
      </c>
      <c r="G3" s="64" t="s">
        <v>16</v>
      </c>
      <c r="H3" s="64" t="s">
        <v>17</v>
      </c>
      <c r="I3" s="64" t="s">
        <v>18</v>
      </c>
      <c r="J3" s="64" t="s">
        <v>19</v>
      </c>
      <c r="K3" s="65" t="s">
        <v>188</v>
      </c>
      <c r="L3" s="36" t="s">
        <v>118</v>
      </c>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row>
    <row r="4" spans="1:189">
      <c r="A4" s="138" t="s">
        <v>71</v>
      </c>
      <c r="B4" s="127">
        <v>7421.65</v>
      </c>
      <c r="C4" s="127">
        <v>8713.98</v>
      </c>
      <c r="D4" s="127">
        <v>9899.9599999999991</v>
      </c>
      <c r="E4" s="127">
        <v>10331.799999999999</v>
      </c>
      <c r="F4" s="127">
        <v>12319.12</v>
      </c>
      <c r="G4" s="127">
        <v>15758.18</v>
      </c>
      <c r="H4" s="127">
        <v>19397.93</v>
      </c>
      <c r="I4" s="127">
        <v>23579.03</v>
      </c>
      <c r="J4" s="127">
        <v>23768.11</v>
      </c>
      <c r="K4" s="128">
        <v>25275.47</v>
      </c>
      <c r="L4" s="27">
        <f>(K4/B4)^(1/9)-1</f>
        <v>0.14586432050234266</v>
      </c>
    </row>
    <row r="5" spans="1:189">
      <c r="A5" s="86"/>
      <c r="B5" s="34"/>
      <c r="C5" s="34"/>
      <c r="D5" s="34"/>
      <c r="E5" s="34"/>
      <c r="F5" s="34"/>
      <c r="G5" s="34"/>
      <c r="H5" s="34"/>
      <c r="I5" s="34"/>
      <c r="J5" s="34"/>
      <c r="K5" s="103"/>
      <c r="L5" s="27"/>
    </row>
    <row r="6" spans="1:189" ht="15.75">
      <c r="A6" s="104" t="s">
        <v>88</v>
      </c>
      <c r="B6" s="34"/>
      <c r="C6" s="34"/>
      <c r="D6" s="34"/>
      <c r="E6" s="34"/>
      <c r="F6" s="34"/>
      <c r="G6" s="34"/>
      <c r="H6" s="34"/>
      <c r="I6" s="34"/>
      <c r="J6" s="34"/>
      <c r="K6" s="103"/>
    </row>
    <row r="7" spans="1:189">
      <c r="A7" s="126" t="s">
        <v>72</v>
      </c>
      <c r="B7" s="127">
        <v>-11.89</v>
      </c>
      <c r="C7" s="127">
        <v>-12.25</v>
      </c>
      <c r="D7" s="127">
        <v>2.2400000000000002</v>
      </c>
      <c r="E7" s="127">
        <v>10.7</v>
      </c>
      <c r="F7" s="127">
        <v>-18.21</v>
      </c>
      <c r="G7" s="127">
        <v>5.95</v>
      </c>
      <c r="H7" s="127">
        <v>-24.06</v>
      </c>
      <c r="I7" s="127">
        <v>-83.84</v>
      </c>
      <c r="J7" s="127">
        <v>32.799999999999997</v>
      </c>
      <c r="K7" s="128">
        <v>8.36</v>
      </c>
    </row>
    <row r="8" spans="1:189">
      <c r="A8" s="126" t="s">
        <v>73</v>
      </c>
      <c r="B8" s="127">
        <v>5227.3900000000003</v>
      </c>
      <c r="C8" s="127">
        <v>6097.56</v>
      </c>
      <c r="D8" s="127">
        <v>7216.11</v>
      </c>
      <c r="E8" s="127">
        <v>7441.05</v>
      </c>
      <c r="F8" s="127">
        <v>8816.4699999999993</v>
      </c>
      <c r="G8" s="127">
        <v>10780.59</v>
      </c>
      <c r="H8" s="127">
        <v>14189.76</v>
      </c>
      <c r="I8" s="127">
        <v>17448.87</v>
      </c>
      <c r="J8" s="127">
        <v>17458.310000000001</v>
      </c>
      <c r="K8" s="128">
        <v>18314.38</v>
      </c>
    </row>
    <row r="9" spans="1:189">
      <c r="A9" s="126" t="s">
        <v>74</v>
      </c>
      <c r="B9" s="127">
        <v>215.29</v>
      </c>
      <c r="C9" s="127">
        <v>259.47000000000003</v>
      </c>
      <c r="D9" s="127">
        <v>299.02999999999997</v>
      </c>
      <c r="E9" s="127">
        <v>321.16000000000003</v>
      </c>
      <c r="F9" s="127">
        <v>370.71</v>
      </c>
      <c r="G9" s="127">
        <v>437.83</v>
      </c>
      <c r="H9" s="127">
        <v>618.95000000000005</v>
      </c>
      <c r="I9" s="127">
        <v>735.52</v>
      </c>
      <c r="J9" s="127">
        <v>820.92</v>
      </c>
      <c r="K9" s="128">
        <v>930.04</v>
      </c>
    </row>
    <row r="10" spans="1:189">
      <c r="A10" s="126" t="s">
        <v>75</v>
      </c>
      <c r="B10" s="127">
        <v>295.02</v>
      </c>
      <c r="C10" s="127">
        <v>379.96</v>
      </c>
      <c r="D10" s="127">
        <v>434.98</v>
      </c>
      <c r="E10" s="127">
        <v>459.15</v>
      </c>
      <c r="F10" s="127">
        <v>545.26</v>
      </c>
      <c r="G10" s="127">
        <v>677.1</v>
      </c>
      <c r="H10" s="127">
        <v>674.03</v>
      </c>
      <c r="I10" s="127">
        <v>363.18</v>
      </c>
      <c r="J10" s="127">
        <v>411.85</v>
      </c>
      <c r="K10" s="128">
        <v>508.49</v>
      </c>
    </row>
    <row r="11" spans="1:189">
      <c r="A11" s="126" t="s">
        <v>76</v>
      </c>
      <c r="B11" s="127">
        <v>374.39</v>
      </c>
      <c r="C11" s="127">
        <v>442.85</v>
      </c>
      <c r="D11" s="127">
        <v>538.72</v>
      </c>
      <c r="E11" s="127">
        <v>550.28</v>
      </c>
      <c r="F11" s="127">
        <v>672.25</v>
      </c>
      <c r="G11" s="127">
        <v>841.71</v>
      </c>
      <c r="H11" s="127">
        <v>605.26</v>
      </c>
      <c r="I11" s="127">
        <v>773.62</v>
      </c>
      <c r="J11" s="127">
        <v>854.7</v>
      </c>
      <c r="K11" s="128">
        <v>959.96</v>
      </c>
    </row>
    <row r="12" spans="1:189">
      <c r="A12" s="126" t="s">
        <v>77</v>
      </c>
      <c r="B12" s="127">
        <v>159.57</v>
      </c>
      <c r="C12" s="127">
        <v>205.59</v>
      </c>
      <c r="D12" s="127">
        <v>257.04000000000002</v>
      </c>
      <c r="E12" s="127">
        <v>236.87</v>
      </c>
      <c r="F12" s="127">
        <v>266.07</v>
      </c>
      <c r="G12" s="127">
        <v>387.83</v>
      </c>
      <c r="H12" s="127">
        <v>382.6</v>
      </c>
      <c r="I12" s="127">
        <v>366.09</v>
      </c>
      <c r="J12" s="127">
        <v>468.71</v>
      </c>
      <c r="K12" s="128">
        <v>493.47</v>
      </c>
      <c r="L12" s="38"/>
    </row>
    <row r="13" spans="1:189">
      <c r="A13" s="126" t="s">
        <v>78</v>
      </c>
      <c r="B13" s="127">
        <v>6.06</v>
      </c>
      <c r="C13" s="127">
        <v>6.64</v>
      </c>
      <c r="D13" s="127">
        <v>18.440000000000001</v>
      </c>
      <c r="E13" s="127">
        <v>12.43</v>
      </c>
      <c r="F13" s="127">
        <v>38.47</v>
      </c>
      <c r="G13" s="127">
        <v>15.38</v>
      </c>
      <c r="H13" s="127">
        <v>393.45</v>
      </c>
      <c r="I13" s="127">
        <v>440.27</v>
      </c>
      <c r="J13" s="127">
        <v>529.79</v>
      </c>
      <c r="K13" s="128">
        <v>613.55999999999995</v>
      </c>
    </row>
    <row r="14" spans="1:189" ht="15.75">
      <c r="A14" s="98" t="s">
        <v>79</v>
      </c>
      <c r="B14" s="33">
        <f>SUM(B7:B13)</f>
        <v>6265.83</v>
      </c>
      <c r="C14" s="33">
        <f t="shared" ref="C14:K14" si="0">SUM(C7:C13)</f>
        <v>7379.8200000000015</v>
      </c>
      <c r="D14" s="33">
        <f t="shared" si="0"/>
        <v>8766.56</v>
      </c>
      <c r="E14" s="33">
        <f t="shared" si="0"/>
        <v>9031.6400000000012</v>
      </c>
      <c r="F14" s="33">
        <f t="shared" si="0"/>
        <v>10691.019999999999</v>
      </c>
      <c r="G14" s="33">
        <f t="shared" si="0"/>
        <v>13146.39</v>
      </c>
      <c r="H14" s="33">
        <f t="shared" si="0"/>
        <v>16839.990000000002</v>
      </c>
      <c r="I14" s="33">
        <f t="shared" si="0"/>
        <v>20043.71</v>
      </c>
      <c r="J14" s="33">
        <f t="shared" si="0"/>
        <v>20577.079999999998</v>
      </c>
      <c r="K14" s="99">
        <f t="shared" si="0"/>
        <v>21828.260000000006</v>
      </c>
      <c r="L14" s="27">
        <f>(K14/B14)^(1/9)-1</f>
        <v>0.14875317141640365</v>
      </c>
    </row>
    <row r="15" spans="1:189" ht="15.75">
      <c r="A15" s="98" t="s">
        <v>132</v>
      </c>
      <c r="B15" s="33">
        <f>B4-B7-B8-B10</f>
        <v>1911.1299999999997</v>
      </c>
      <c r="C15" s="33">
        <f t="shared" ref="C15:K15" si="1">C4-C7-C8-C10</f>
        <v>2248.7099999999991</v>
      </c>
      <c r="D15" s="33">
        <f t="shared" si="1"/>
        <v>2246.6299999999997</v>
      </c>
      <c r="E15" s="33">
        <f t="shared" si="1"/>
        <v>2420.8999999999983</v>
      </c>
      <c r="F15" s="33">
        <f t="shared" si="1"/>
        <v>2975.6000000000004</v>
      </c>
      <c r="G15" s="33">
        <f t="shared" si="1"/>
        <v>4294.5399999999991</v>
      </c>
      <c r="H15" s="33">
        <f t="shared" si="1"/>
        <v>4558.2000000000016</v>
      </c>
      <c r="I15" s="33">
        <f t="shared" si="1"/>
        <v>5850.82</v>
      </c>
      <c r="J15" s="33">
        <f t="shared" si="1"/>
        <v>5865.15</v>
      </c>
      <c r="K15" s="99">
        <f t="shared" si="1"/>
        <v>6444.24</v>
      </c>
      <c r="L15" s="27">
        <f>(K15/B15)^(1/9)-1</f>
        <v>0.14459935641423738</v>
      </c>
    </row>
    <row r="16" spans="1:189" ht="15.75">
      <c r="A16" s="98" t="s">
        <v>89</v>
      </c>
      <c r="B16" s="33">
        <f>B4-B14</f>
        <v>1155.8199999999997</v>
      </c>
      <c r="C16" s="33">
        <f t="shared" ref="C16:K16" si="2">C4-C14</f>
        <v>1334.159999999998</v>
      </c>
      <c r="D16" s="33">
        <f t="shared" si="2"/>
        <v>1133.3999999999996</v>
      </c>
      <c r="E16" s="33">
        <f t="shared" si="2"/>
        <v>1300.159999999998</v>
      </c>
      <c r="F16" s="33">
        <f t="shared" si="2"/>
        <v>1628.1000000000022</v>
      </c>
      <c r="G16" s="33">
        <f t="shared" si="2"/>
        <v>2611.7900000000009</v>
      </c>
      <c r="H16" s="33">
        <f t="shared" si="2"/>
        <v>2557.9399999999987</v>
      </c>
      <c r="I16" s="33">
        <f t="shared" si="2"/>
        <v>3535.3199999999997</v>
      </c>
      <c r="J16" s="33">
        <f t="shared" si="2"/>
        <v>3191.0300000000025</v>
      </c>
      <c r="K16" s="99">
        <f t="shared" si="2"/>
        <v>3447.2099999999955</v>
      </c>
      <c r="L16" s="27">
        <f>(K16/B16)^(1/9)-1</f>
        <v>0.12909591800948972</v>
      </c>
    </row>
    <row r="17" spans="1:12">
      <c r="A17" s="126" t="s">
        <v>80</v>
      </c>
      <c r="B17" s="123">
        <v>152.74</v>
      </c>
      <c r="C17" s="123">
        <v>195.62</v>
      </c>
      <c r="D17" s="123">
        <v>254.09</v>
      </c>
      <c r="E17" s="123">
        <v>272.44</v>
      </c>
      <c r="F17" s="123">
        <v>336.55</v>
      </c>
      <c r="G17" s="123">
        <v>413.51</v>
      </c>
      <c r="H17" s="123">
        <v>344.21</v>
      </c>
      <c r="I17" s="123">
        <v>448.03</v>
      </c>
      <c r="J17" s="123">
        <v>491.83</v>
      </c>
      <c r="K17" s="124">
        <v>539.23</v>
      </c>
    </row>
    <row r="18" spans="1:12">
      <c r="A18" s="126" t="s">
        <v>82</v>
      </c>
      <c r="B18" s="123">
        <v>89.38</v>
      </c>
      <c r="C18" s="123">
        <v>114.62</v>
      </c>
      <c r="D18" s="123">
        <v>139.78</v>
      </c>
      <c r="E18" s="123">
        <v>160.32</v>
      </c>
      <c r="F18" s="123">
        <v>180.66</v>
      </c>
      <c r="G18" s="123">
        <v>191.47</v>
      </c>
      <c r="H18" s="123">
        <v>402.38</v>
      </c>
      <c r="I18" s="123">
        <v>1097.3399999999999</v>
      </c>
      <c r="J18" s="123">
        <v>1141.75</v>
      </c>
      <c r="K18" s="124">
        <v>1107.3699999999999</v>
      </c>
    </row>
    <row r="19" spans="1:12" ht="15.75">
      <c r="A19" s="98" t="s">
        <v>90</v>
      </c>
      <c r="B19" s="33">
        <f>B16+B17-B18</f>
        <v>1219.1799999999998</v>
      </c>
      <c r="C19" s="33">
        <f t="shared" ref="C19:K19" si="3">C16+C17-C18</f>
        <v>1415.159999999998</v>
      </c>
      <c r="D19" s="33">
        <f t="shared" si="3"/>
        <v>1247.7099999999996</v>
      </c>
      <c r="E19" s="33">
        <f t="shared" si="3"/>
        <v>1412.2799999999982</v>
      </c>
      <c r="F19" s="33">
        <f t="shared" si="3"/>
        <v>1783.9900000000021</v>
      </c>
      <c r="G19" s="33">
        <f t="shared" si="3"/>
        <v>2833.8300000000013</v>
      </c>
      <c r="H19" s="33">
        <f t="shared" si="3"/>
        <v>2499.7699999999986</v>
      </c>
      <c r="I19" s="33">
        <f t="shared" si="3"/>
        <v>2886.0099999999993</v>
      </c>
      <c r="J19" s="33">
        <f t="shared" si="3"/>
        <v>2541.1100000000024</v>
      </c>
      <c r="K19" s="99">
        <f t="shared" si="3"/>
        <v>2879.0699999999956</v>
      </c>
      <c r="L19" s="27">
        <f>(K19/B19)^(1/9)-1</f>
        <v>0.10018300700229976</v>
      </c>
    </row>
    <row r="20" spans="1:12">
      <c r="A20" s="126" t="s">
        <v>81</v>
      </c>
      <c r="B20" s="123">
        <v>1.93</v>
      </c>
      <c r="C20" s="123">
        <v>2.92</v>
      </c>
      <c r="D20" s="123">
        <v>1.61</v>
      </c>
      <c r="E20" s="123">
        <v>2</v>
      </c>
      <c r="F20" s="123">
        <v>2.5299999999999998</v>
      </c>
      <c r="G20" s="123">
        <v>2.1</v>
      </c>
      <c r="H20" s="123">
        <v>15.17</v>
      </c>
      <c r="I20" s="123">
        <v>21.3</v>
      </c>
      <c r="J20" s="123">
        <v>11.91</v>
      </c>
      <c r="K20" s="124">
        <v>11.82</v>
      </c>
    </row>
    <row r="21" spans="1:12">
      <c r="A21" s="126" t="s">
        <v>83</v>
      </c>
      <c r="B21" s="123"/>
      <c r="C21" s="123"/>
      <c r="D21" s="123"/>
      <c r="E21" s="123"/>
      <c r="F21" s="123"/>
      <c r="G21" s="123"/>
      <c r="H21" s="123">
        <v>-79.84</v>
      </c>
      <c r="I21" s="123"/>
      <c r="J21" s="123"/>
      <c r="K21" s="124"/>
    </row>
    <row r="22" spans="1:12" ht="15.75">
      <c r="A22" s="98" t="s">
        <v>84</v>
      </c>
      <c r="B22" s="33">
        <f t="shared" ref="B22:H22" si="4">B19-B20+B21</f>
        <v>1217.2499999999998</v>
      </c>
      <c r="C22" s="33">
        <f t="shared" si="4"/>
        <v>1412.239999999998</v>
      </c>
      <c r="D22" s="33">
        <f t="shared" si="4"/>
        <v>1246.0999999999997</v>
      </c>
      <c r="E22" s="33">
        <f t="shared" si="4"/>
        <v>1410.2799999999982</v>
      </c>
      <c r="F22" s="33">
        <f t="shared" si="4"/>
        <v>1781.4600000000021</v>
      </c>
      <c r="G22" s="33">
        <f t="shared" si="4"/>
        <v>2831.7300000000014</v>
      </c>
      <c r="H22" s="33">
        <f t="shared" si="4"/>
        <v>2404.7599999999984</v>
      </c>
      <c r="I22" s="33">
        <f>I19-I20+I21</f>
        <v>2864.7099999999991</v>
      </c>
      <c r="J22" s="33">
        <f t="shared" ref="J22:K22" si="5">J19-J20+J21</f>
        <v>2529.2000000000025</v>
      </c>
      <c r="K22" s="99">
        <f t="shared" si="5"/>
        <v>2867.2499999999955</v>
      </c>
      <c r="L22" s="27">
        <f>(K22/B22)^(1/9)-1</f>
        <v>9.9873818652947532E-2</v>
      </c>
    </row>
    <row r="23" spans="1:12">
      <c r="A23" s="126" t="s">
        <v>85</v>
      </c>
      <c r="B23" s="123">
        <v>406.78</v>
      </c>
      <c r="C23" s="123">
        <v>440.9</v>
      </c>
      <c r="D23" s="123">
        <v>388.21</v>
      </c>
      <c r="E23" s="123">
        <v>442.4</v>
      </c>
      <c r="F23" s="123">
        <v>499.7</v>
      </c>
      <c r="G23" s="123">
        <v>599.9</v>
      </c>
      <c r="H23" s="123">
        <v>476.86</v>
      </c>
      <c r="I23" s="123">
        <v>486.58</v>
      </c>
      <c r="J23" s="123">
        <v>411.04</v>
      </c>
      <c r="K23" s="124">
        <v>758.17</v>
      </c>
    </row>
    <row r="24" spans="1:12" ht="15.75">
      <c r="A24" s="98" t="s">
        <v>86</v>
      </c>
      <c r="B24" s="33">
        <f t="shared" ref="B24:K24" si="6">B22-B23</f>
        <v>810.4699999999998</v>
      </c>
      <c r="C24" s="33">
        <f t="shared" si="6"/>
        <v>971.33999999999799</v>
      </c>
      <c r="D24" s="33">
        <f t="shared" si="6"/>
        <v>857.88999999999965</v>
      </c>
      <c r="E24" s="33">
        <f t="shared" si="6"/>
        <v>967.87999999999818</v>
      </c>
      <c r="F24" s="33">
        <f t="shared" si="6"/>
        <v>1281.760000000002</v>
      </c>
      <c r="G24" s="33">
        <f t="shared" si="6"/>
        <v>2231.8300000000013</v>
      </c>
      <c r="H24" s="33">
        <f t="shared" si="6"/>
        <v>1927.8999999999983</v>
      </c>
      <c r="I24" s="33">
        <f t="shared" si="6"/>
        <v>2378.1299999999992</v>
      </c>
      <c r="J24" s="33">
        <f t="shared" si="6"/>
        <v>2118.1600000000026</v>
      </c>
      <c r="K24" s="99">
        <f t="shared" si="6"/>
        <v>2109.0799999999954</v>
      </c>
      <c r="L24" s="27">
        <f>(K24/B24)^(1/9)-1</f>
        <v>0.11211751046658436</v>
      </c>
    </row>
    <row r="25" spans="1:12">
      <c r="A25" s="126" t="s">
        <v>10</v>
      </c>
      <c r="B25" s="123">
        <v>0</v>
      </c>
      <c r="C25" s="123">
        <v>0</v>
      </c>
      <c r="D25" s="123">
        <v>0</v>
      </c>
      <c r="E25" s="123">
        <v>0</v>
      </c>
      <c r="F25" s="123">
        <v>0</v>
      </c>
      <c r="G25" s="123">
        <v>0</v>
      </c>
      <c r="H25" s="123">
        <v>0</v>
      </c>
      <c r="I25" s="123">
        <v>0</v>
      </c>
      <c r="J25" s="123">
        <v>0</v>
      </c>
      <c r="K25" s="124">
        <v>0</v>
      </c>
    </row>
    <row r="26" spans="1:12">
      <c r="A26" s="126" t="s">
        <v>87</v>
      </c>
      <c r="B26" s="123">
        <v>0</v>
      </c>
      <c r="C26" s="123">
        <v>0</v>
      </c>
      <c r="D26" s="123">
        <v>0</v>
      </c>
      <c r="E26" s="123">
        <v>0</v>
      </c>
      <c r="F26" s="123">
        <v>0</v>
      </c>
      <c r="G26" s="123">
        <v>0</v>
      </c>
      <c r="H26" s="123">
        <v>0</v>
      </c>
      <c r="I26" s="123">
        <v>0</v>
      </c>
      <c r="J26" s="123">
        <v>0</v>
      </c>
      <c r="K26" s="124">
        <v>0</v>
      </c>
    </row>
    <row r="27" spans="1:12" ht="15.75">
      <c r="A27" s="98" t="s">
        <v>190</v>
      </c>
      <c r="B27" s="33">
        <f t="shared" ref="B27:J27" si="7">B24+B25+B26</f>
        <v>810.4699999999998</v>
      </c>
      <c r="C27" s="33">
        <f t="shared" si="7"/>
        <v>971.33999999999799</v>
      </c>
      <c r="D27" s="33">
        <f t="shared" si="7"/>
        <v>857.88999999999965</v>
      </c>
      <c r="E27" s="33">
        <f t="shared" si="7"/>
        <v>967.87999999999818</v>
      </c>
      <c r="F27" s="33">
        <f t="shared" si="7"/>
        <v>1281.760000000002</v>
      </c>
      <c r="G27" s="33">
        <f t="shared" si="7"/>
        <v>2231.8300000000013</v>
      </c>
      <c r="H27" s="33">
        <f t="shared" si="7"/>
        <v>1927.8999999999983</v>
      </c>
      <c r="I27" s="33">
        <f t="shared" si="7"/>
        <v>2378.1299999999992</v>
      </c>
      <c r="J27" s="33">
        <f t="shared" si="7"/>
        <v>2118.1600000000026</v>
      </c>
      <c r="K27" s="99">
        <f>K24+K25+K26</f>
        <v>2109.0799999999954</v>
      </c>
      <c r="L27" s="27">
        <f>(K27/B27)^(1/9)-1</f>
        <v>0.11211751046658436</v>
      </c>
    </row>
    <row r="28" spans="1:12" ht="15.75">
      <c r="A28" s="98" t="s">
        <v>138</v>
      </c>
      <c r="B28" s="45">
        <f>B27/'First Page'!$B$16</f>
        <v>40.584376564847261</v>
      </c>
      <c r="C28" s="45">
        <f>C27/'First Page'!$B$16</f>
        <v>48.639959939909765</v>
      </c>
      <c r="D28" s="45">
        <f>D27/'First Page'!$B$16</f>
        <v>42.958938407611399</v>
      </c>
      <c r="E28" s="45">
        <f>E27/'First Page'!$B$16</f>
        <v>48.466700050075026</v>
      </c>
      <c r="F28" s="45">
        <f>F27/'First Page'!$B$16</f>
        <v>64.184276414622033</v>
      </c>
      <c r="G28" s="45">
        <f>G27/'First Page'!$B$16</f>
        <v>111.75913870806217</v>
      </c>
      <c r="H28" s="45">
        <f>H27/'First Page'!$B$16</f>
        <v>96.539809714571774</v>
      </c>
      <c r="I28" s="45">
        <f>I27/'First Page'!$B$16</f>
        <v>119.08512769153727</v>
      </c>
      <c r="J28" s="45">
        <f>J27/'First Page'!$B$16</f>
        <v>106.0671006509766</v>
      </c>
      <c r="K28" s="45">
        <f>K27/'First Page'!$B$16</f>
        <v>105.61241862794169</v>
      </c>
      <c r="L28" s="27"/>
    </row>
    <row r="29" spans="1:12">
      <c r="A29" s="1"/>
      <c r="B29" s="4"/>
      <c r="C29" s="4"/>
      <c r="D29" s="4"/>
      <c r="E29" s="4"/>
      <c r="F29" s="4"/>
      <c r="G29" s="4"/>
      <c r="H29" s="4"/>
      <c r="I29" s="4"/>
      <c r="J29" s="4"/>
      <c r="K29" s="4"/>
    </row>
    <row r="30" spans="1:12">
      <c r="A30" s="1"/>
      <c r="B30" s="4"/>
      <c r="C30" s="4"/>
      <c r="D30" s="4"/>
      <c r="E30" s="4"/>
      <c r="F30" s="4"/>
      <c r="G30" s="4"/>
      <c r="H30" s="4"/>
      <c r="I30" s="4"/>
      <c r="J30" s="4"/>
      <c r="K30" s="4"/>
    </row>
    <row r="31" spans="1:12">
      <c r="B31" s="2"/>
      <c r="C31" s="2"/>
      <c r="D31" s="2"/>
      <c r="E31" s="2"/>
      <c r="F31" s="2"/>
      <c r="G31" s="2"/>
      <c r="H31" s="2"/>
      <c r="I31" s="2"/>
      <c r="J31" s="2"/>
      <c r="K31" s="2"/>
    </row>
    <row r="32" spans="1:12">
      <c r="B32" s="2"/>
      <c r="C32" s="2"/>
      <c r="D32" s="2"/>
      <c r="E32" s="2"/>
      <c r="F32" s="2"/>
      <c r="G32" s="2"/>
      <c r="H32" s="2"/>
      <c r="I32" s="2"/>
      <c r="J32" s="2"/>
      <c r="K32" s="2"/>
    </row>
    <row r="33" spans="2:11">
      <c r="B33" s="2"/>
      <c r="C33" s="2"/>
      <c r="D33" s="2"/>
      <c r="E33" s="2"/>
      <c r="F33" s="2"/>
      <c r="G33" s="2"/>
      <c r="H33" s="2"/>
      <c r="I33" s="2"/>
      <c r="J33" s="2"/>
      <c r="K33" s="2"/>
    </row>
    <row r="34" spans="2:11">
      <c r="B34" s="2"/>
      <c r="C34" s="2"/>
      <c r="D34" s="2"/>
      <c r="E34" s="2"/>
      <c r="F34" s="2"/>
      <c r="G34" s="2"/>
      <c r="H34" s="2"/>
      <c r="I34" s="2"/>
      <c r="J34" s="2"/>
      <c r="K34" s="2"/>
    </row>
    <row r="35" spans="2:11">
      <c r="B35" s="2"/>
      <c r="C35" s="2"/>
      <c r="D35" s="2"/>
      <c r="E35" s="2"/>
      <c r="F35" s="2"/>
      <c r="G35" s="2"/>
      <c r="H35" s="2"/>
      <c r="I35" s="2"/>
      <c r="J35" s="2"/>
      <c r="K35" s="2"/>
    </row>
    <row r="36" spans="2:11">
      <c r="B36" s="2"/>
      <c r="C36" s="2"/>
      <c r="D36" s="2"/>
      <c r="E36" s="2"/>
      <c r="F36" s="2"/>
      <c r="G36" s="2"/>
      <c r="H36" s="2"/>
      <c r="I36" s="2"/>
      <c r="J36" s="2"/>
      <c r="K36" s="2"/>
    </row>
    <row r="37" spans="2:11">
      <c r="B37" s="2"/>
      <c r="C37" s="2"/>
      <c r="D37" s="2"/>
      <c r="E37" s="2"/>
      <c r="F37" s="2"/>
      <c r="G37" s="2"/>
      <c r="H37" s="2"/>
      <c r="I37" s="2"/>
      <c r="J37" s="2"/>
      <c r="K37" s="2"/>
    </row>
    <row r="38" spans="2:11">
      <c r="B38" s="2"/>
      <c r="C38" s="2"/>
      <c r="D38" s="2"/>
      <c r="E38" s="2"/>
      <c r="F38" s="2"/>
      <c r="G38" s="2"/>
      <c r="H38" s="2"/>
      <c r="I38" s="2"/>
      <c r="J38" s="2"/>
      <c r="K38" s="2"/>
    </row>
    <row r="39" spans="2:11">
      <c r="B39" s="2"/>
      <c r="C39" s="2"/>
      <c r="D39" s="2"/>
      <c r="E39" s="2"/>
      <c r="F39" s="2"/>
      <c r="G39" s="2"/>
      <c r="H39" s="2"/>
      <c r="I39" s="2"/>
      <c r="J39" s="2"/>
      <c r="K39" s="2"/>
    </row>
    <row r="40" spans="2:11">
      <c r="B40" s="2"/>
      <c r="C40" s="2"/>
      <c r="D40" s="2"/>
      <c r="E40" s="2"/>
      <c r="F40" s="2"/>
      <c r="G40" s="2"/>
      <c r="H40" s="2"/>
      <c r="I40" s="2"/>
      <c r="J40" s="2"/>
      <c r="K40" s="2"/>
    </row>
    <row r="41" spans="2:11">
      <c r="B41" s="2"/>
      <c r="C41" s="2"/>
      <c r="D41" s="2"/>
      <c r="E41" s="2"/>
      <c r="F41" s="2"/>
      <c r="G41" s="2"/>
      <c r="H41" s="2"/>
      <c r="I41" s="2"/>
      <c r="J41" s="2"/>
      <c r="K41" s="2"/>
    </row>
    <row r="42" spans="2:11">
      <c r="B42" s="2"/>
      <c r="C42" s="2"/>
      <c r="D42" s="2"/>
      <c r="E42" s="2"/>
      <c r="F42" s="2"/>
      <c r="G42" s="2"/>
      <c r="H42" s="2"/>
      <c r="I42" s="2"/>
      <c r="J42" s="2"/>
      <c r="K42" s="2"/>
    </row>
    <row r="43" spans="2:11">
      <c r="B43" s="2"/>
      <c r="C43" s="2"/>
      <c r="D43" s="2"/>
      <c r="E43" s="2"/>
      <c r="F43" s="2"/>
      <c r="G43" s="2"/>
      <c r="H43" s="2"/>
      <c r="I43" s="2"/>
      <c r="J43" s="2"/>
      <c r="K43" s="2"/>
    </row>
    <row r="44" spans="2:11">
      <c r="B44" s="2"/>
      <c r="C44" s="2"/>
      <c r="D44" s="2"/>
      <c r="E44" s="2"/>
      <c r="F44" s="2"/>
      <c r="G44" s="2"/>
      <c r="H44" s="2"/>
      <c r="I44" s="2"/>
      <c r="J44" s="2"/>
      <c r="K44" s="2"/>
    </row>
    <row r="45" spans="2:11">
      <c r="B45" s="2"/>
      <c r="C45" s="2"/>
      <c r="D45" s="2"/>
      <c r="E45" s="2"/>
      <c r="F45" s="2"/>
      <c r="G45" s="2"/>
      <c r="H45" s="2"/>
      <c r="I45" s="2"/>
      <c r="J45" s="2"/>
      <c r="K45" s="2"/>
    </row>
    <row r="46" spans="2:11">
      <c r="B46" s="2"/>
      <c r="C46" s="2"/>
      <c r="D46" s="2"/>
      <c r="E46" s="2"/>
      <c r="F46" s="2"/>
      <c r="G46" s="2"/>
      <c r="H46" s="2"/>
      <c r="I46" s="2"/>
      <c r="J46" s="2"/>
      <c r="K46" s="2"/>
    </row>
    <row r="47" spans="2:11">
      <c r="B47" s="2"/>
      <c r="C47" s="2"/>
      <c r="D47" s="2"/>
      <c r="E47" s="2"/>
      <c r="F47" s="2"/>
      <c r="G47" s="2"/>
      <c r="H47" s="2"/>
      <c r="I47" s="2"/>
      <c r="J47" s="2"/>
      <c r="K47" s="2"/>
    </row>
    <row r="48" spans="2:11">
      <c r="B48" s="2"/>
      <c r="C48" s="2"/>
      <c r="D48" s="2"/>
      <c r="E48" s="2"/>
      <c r="F48" s="2"/>
      <c r="G48" s="2"/>
      <c r="H48" s="2"/>
      <c r="I48" s="2"/>
      <c r="J48" s="2"/>
      <c r="K48" s="2"/>
    </row>
    <row r="49" spans="2:11">
      <c r="B49" s="2"/>
      <c r="C49" s="2"/>
      <c r="D49" s="2"/>
      <c r="E49" s="2"/>
      <c r="F49" s="2"/>
      <c r="G49" s="2"/>
      <c r="H49" s="2"/>
      <c r="I49" s="2"/>
      <c r="J49" s="2"/>
      <c r="K49" s="2"/>
    </row>
    <row r="50" spans="2:11">
      <c r="B50" s="2"/>
      <c r="C50" s="2"/>
      <c r="D50" s="2"/>
      <c r="E50" s="2"/>
      <c r="F50" s="2"/>
      <c r="G50" s="2"/>
      <c r="H50" s="2"/>
      <c r="I50" s="2"/>
      <c r="J50" s="2"/>
      <c r="K50" s="2"/>
    </row>
    <row r="51" spans="2:11">
      <c r="B51" s="2"/>
      <c r="C51" s="2"/>
      <c r="D51" s="2"/>
      <c r="E51" s="2"/>
      <c r="F51" s="2"/>
      <c r="G51" s="2"/>
      <c r="H51" s="2"/>
      <c r="I51" s="2"/>
      <c r="J51" s="2"/>
      <c r="K51" s="2"/>
    </row>
    <row r="52" spans="2:11">
      <c r="B52" s="2"/>
      <c r="C52" s="2"/>
      <c r="D52" s="2"/>
      <c r="E52" s="2"/>
      <c r="F52" s="2"/>
      <c r="G52" s="2"/>
      <c r="H52" s="2"/>
      <c r="I52" s="2"/>
      <c r="J52" s="2"/>
      <c r="K52" s="2"/>
    </row>
    <row r="53" spans="2:11">
      <c r="B53" s="2"/>
      <c r="C53" s="2"/>
      <c r="D53" s="2"/>
      <c r="E53" s="2"/>
      <c r="F53" s="2"/>
      <c r="G53" s="2"/>
      <c r="H53" s="2"/>
      <c r="I53" s="2"/>
      <c r="J53" s="2"/>
      <c r="K53" s="2"/>
    </row>
    <row r="54" spans="2:11">
      <c r="B54" s="2"/>
      <c r="C54" s="2"/>
      <c r="D54" s="2"/>
      <c r="E54" s="2"/>
      <c r="F54" s="2"/>
      <c r="G54" s="2"/>
      <c r="H54" s="2"/>
      <c r="I54" s="2"/>
      <c r="J54" s="2"/>
      <c r="K54" s="2"/>
    </row>
    <row r="55" spans="2:11">
      <c r="B55" s="2"/>
      <c r="C55" s="2"/>
      <c r="D55" s="2"/>
      <c r="E55" s="2"/>
      <c r="F55" s="2"/>
      <c r="G55" s="2"/>
      <c r="H55" s="2"/>
      <c r="I55" s="2"/>
      <c r="J55" s="2"/>
      <c r="K55" s="2"/>
    </row>
    <row r="56" spans="2:11">
      <c r="B56" s="2"/>
      <c r="C56" s="2"/>
      <c r="D56" s="2"/>
      <c r="E56" s="2"/>
      <c r="F56" s="2"/>
      <c r="G56" s="2"/>
      <c r="H56" s="2"/>
      <c r="I56" s="2"/>
      <c r="J56" s="2"/>
      <c r="K56" s="2"/>
    </row>
    <row r="57" spans="2:11">
      <c r="B57" s="2"/>
      <c r="C57" s="2"/>
      <c r="D57" s="2"/>
      <c r="E57" s="2"/>
      <c r="F57" s="2"/>
      <c r="G57" s="2"/>
      <c r="H57" s="2"/>
      <c r="I57" s="2"/>
      <c r="J57" s="2"/>
      <c r="K57" s="2"/>
    </row>
    <row r="58" spans="2:11">
      <c r="B58" s="2"/>
      <c r="C58" s="2"/>
      <c r="D58" s="2"/>
      <c r="E58" s="2"/>
      <c r="F58" s="2"/>
      <c r="G58" s="2"/>
      <c r="H58" s="2"/>
      <c r="I58" s="2"/>
      <c r="J58" s="2"/>
      <c r="K58" s="2"/>
    </row>
    <row r="59" spans="2:11">
      <c r="B59" s="2"/>
      <c r="C59" s="2"/>
      <c r="D59" s="2"/>
      <c r="E59" s="2"/>
      <c r="F59" s="2"/>
      <c r="G59" s="2"/>
      <c r="H59" s="2"/>
      <c r="I59" s="2"/>
      <c r="J59" s="2"/>
      <c r="K59" s="2"/>
    </row>
    <row r="60" spans="2:11">
      <c r="B60" s="2"/>
      <c r="C60" s="2"/>
      <c r="D60" s="2"/>
      <c r="E60" s="2"/>
      <c r="F60" s="2"/>
      <c r="G60" s="2"/>
      <c r="H60" s="2"/>
      <c r="I60" s="2"/>
      <c r="J60" s="2"/>
      <c r="K60" s="2"/>
    </row>
    <row r="61" spans="2:11">
      <c r="B61" s="2"/>
      <c r="C61" s="2"/>
      <c r="D61" s="2"/>
      <c r="E61" s="2"/>
      <c r="F61" s="2"/>
      <c r="G61" s="2"/>
      <c r="H61" s="2"/>
      <c r="I61" s="2"/>
      <c r="J61" s="2"/>
      <c r="K61" s="2"/>
    </row>
    <row r="62" spans="2:11">
      <c r="B62" s="2"/>
      <c r="C62" s="2"/>
      <c r="D62" s="2"/>
      <c r="E62" s="2"/>
      <c r="F62" s="2"/>
      <c r="G62" s="2"/>
      <c r="H62" s="2"/>
      <c r="I62" s="2"/>
      <c r="J62" s="2"/>
      <c r="K62" s="2"/>
    </row>
    <row r="63" spans="2:11">
      <c r="B63" s="2"/>
      <c r="C63" s="2"/>
      <c r="D63" s="2"/>
      <c r="E63" s="2"/>
      <c r="F63" s="2"/>
      <c r="G63" s="2"/>
      <c r="H63" s="2"/>
      <c r="I63" s="2"/>
      <c r="J63" s="2"/>
      <c r="K63" s="2"/>
    </row>
    <row r="64" spans="2:11">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row r="76" spans="2:11">
      <c r="B76" s="2"/>
      <c r="C76" s="2"/>
      <c r="D76" s="2"/>
      <c r="E76" s="2"/>
      <c r="F76" s="2"/>
      <c r="G76" s="2"/>
      <c r="H76" s="2"/>
      <c r="I76" s="2"/>
      <c r="J76" s="2"/>
      <c r="K76" s="2"/>
    </row>
    <row r="77" spans="2:11">
      <c r="B77" s="2"/>
      <c r="C77" s="2"/>
      <c r="D77" s="2"/>
      <c r="E77" s="2"/>
      <c r="F77" s="2"/>
      <c r="G77" s="2"/>
      <c r="H77" s="2"/>
      <c r="I77" s="2"/>
      <c r="J77" s="2"/>
      <c r="K77" s="2"/>
    </row>
    <row r="78" spans="2:11">
      <c r="B78" s="2"/>
      <c r="C78" s="2"/>
      <c r="D78" s="2"/>
      <c r="E78" s="2"/>
      <c r="F78" s="2"/>
      <c r="G78" s="2"/>
      <c r="H78" s="2"/>
      <c r="I78" s="2"/>
      <c r="J78" s="2"/>
      <c r="K78" s="2"/>
    </row>
    <row r="79" spans="2:11">
      <c r="B79" s="2"/>
      <c r="C79" s="2"/>
      <c r="D79" s="2"/>
      <c r="E79" s="2"/>
      <c r="F79" s="2"/>
      <c r="G79" s="2"/>
      <c r="H79" s="2"/>
      <c r="I79" s="2"/>
      <c r="J79" s="2"/>
      <c r="K79" s="2"/>
    </row>
    <row r="80" spans="2:11">
      <c r="B80" s="2"/>
      <c r="C80" s="2"/>
      <c r="D80" s="2"/>
      <c r="E80" s="2"/>
      <c r="F80" s="2"/>
      <c r="G80" s="2"/>
      <c r="H80" s="2"/>
      <c r="I80" s="2"/>
      <c r="J80" s="2"/>
      <c r="K80" s="2"/>
    </row>
    <row r="81" spans="2:11">
      <c r="B81" s="2"/>
      <c r="C81" s="2"/>
      <c r="D81" s="2"/>
      <c r="E81" s="2"/>
      <c r="F81" s="2"/>
      <c r="G81" s="2"/>
      <c r="H81" s="2"/>
      <c r="I81" s="2"/>
      <c r="J81" s="2"/>
      <c r="K81" s="2"/>
    </row>
    <row r="82" spans="2:11">
      <c r="B82" s="2"/>
      <c r="C82" s="2"/>
      <c r="D82" s="2"/>
      <c r="E82" s="2"/>
      <c r="F82" s="2"/>
      <c r="G82" s="2"/>
      <c r="H82" s="2"/>
      <c r="I82" s="2"/>
      <c r="J82" s="2"/>
      <c r="K82" s="2"/>
    </row>
    <row r="83" spans="2:11">
      <c r="B83" s="2"/>
      <c r="C83" s="2"/>
      <c r="D83" s="2"/>
      <c r="E83" s="2"/>
      <c r="F83" s="2"/>
      <c r="G83" s="2"/>
      <c r="H83" s="2"/>
      <c r="I83" s="2"/>
      <c r="J83" s="2"/>
      <c r="K83" s="2"/>
    </row>
    <row r="84" spans="2:11">
      <c r="B84" s="2"/>
      <c r="C84" s="2"/>
      <c r="D84" s="2"/>
      <c r="E84" s="2"/>
      <c r="F84" s="2"/>
      <c r="G84" s="2"/>
      <c r="H84" s="2"/>
      <c r="I84" s="2"/>
      <c r="J84" s="2"/>
      <c r="K84" s="2"/>
    </row>
    <row r="85" spans="2:11">
      <c r="B85" s="2"/>
      <c r="C85" s="2"/>
      <c r="D85" s="2"/>
      <c r="E85" s="2"/>
      <c r="F85" s="2"/>
      <c r="G85" s="2"/>
      <c r="H85" s="2"/>
      <c r="I85" s="2"/>
      <c r="J85" s="2"/>
      <c r="K85" s="2"/>
    </row>
    <row r="86" spans="2:11">
      <c r="B86" s="2"/>
      <c r="C86" s="2"/>
      <c r="D86" s="2"/>
      <c r="E86" s="2"/>
      <c r="F86" s="2"/>
      <c r="G86" s="2"/>
      <c r="H86" s="2"/>
      <c r="I86" s="2"/>
      <c r="J86" s="2"/>
      <c r="K86" s="2"/>
    </row>
    <row r="87" spans="2:11">
      <c r="B87" s="2"/>
      <c r="C87" s="2"/>
      <c r="D87" s="2"/>
      <c r="E87" s="2"/>
      <c r="F87" s="2"/>
      <c r="G87" s="2"/>
      <c r="H87" s="2"/>
      <c r="I87" s="2"/>
      <c r="J87" s="2"/>
      <c r="K87" s="2"/>
    </row>
    <row r="88" spans="2:11">
      <c r="B88" s="2"/>
      <c r="C88" s="2"/>
      <c r="D88" s="2"/>
      <c r="E88" s="2"/>
      <c r="F88" s="2"/>
      <c r="G88" s="2"/>
      <c r="H88" s="2"/>
      <c r="I88" s="2"/>
      <c r="J88" s="2"/>
      <c r="K88" s="2"/>
    </row>
    <row r="89" spans="2:11">
      <c r="B89" s="2"/>
      <c r="C89" s="2"/>
      <c r="D89" s="2"/>
      <c r="E89" s="2"/>
      <c r="F89" s="2"/>
      <c r="G89" s="2"/>
      <c r="H89" s="2"/>
      <c r="I89" s="2"/>
      <c r="J89" s="2"/>
      <c r="K89" s="2"/>
    </row>
  </sheetData>
  <mergeCells count="2">
    <mergeCell ref="A1:K1"/>
    <mergeCell ref="A2:K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9"/>
  <sheetViews>
    <sheetView workbookViewId="0">
      <selection sqref="A1:K1"/>
    </sheetView>
  </sheetViews>
  <sheetFormatPr defaultRowHeight="15"/>
  <cols>
    <col min="1" max="1" width="56.85546875" style="3" bestFit="1" customWidth="1"/>
    <col min="2" max="4" width="7.28515625" style="3" bestFit="1" customWidth="1"/>
    <col min="5" max="6" width="8.42578125" style="3" bestFit="1" customWidth="1"/>
    <col min="7" max="10" width="9.140625" style="3" bestFit="1" customWidth="1"/>
    <col min="11" max="11" width="10.140625" style="3" bestFit="1" customWidth="1"/>
    <col min="12" max="12" width="9.140625" style="3"/>
    <col min="13" max="18" width="11" style="3" customWidth="1"/>
    <col min="19" max="16384" width="9.140625" style="3"/>
  </cols>
  <sheetData>
    <row r="1" spans="1:49" ht="20.25" thickBot="1">
      <c r="A1" s="193" t="s">
        <v>191</v>
      </c>
      <c r="B1" s="194"/>
      <c r="C1" s="194"/>
      <c r="D1" s="194"/>
      <c r="E1" s="194"/>
      <c r="F1" s="194"/>
      <c r="G1" s="194"/>
      <c r="H1" s="194"/>
      <c r="I1" s="194"/>
      <c r="J1" s="194"/>
      <c r="K1" s="195"/>
    </row>
    <row r="2" spans="1:49" ht="15.75" thickBot="1">
      <c r="A2" s="190" t="s">
        <v>209</v>
      </c>
      <c r="B2" s="191"/>
      <c r="C2" s="191"/>
      <c r="D2" s="191"/>
      <c r="E2" s="191"/>
      <c r="F2" s="191"/>
      <c r="G2" s="191"/>
      <c r="H2" s="191"/>
      <c r="I2" s="191"/>
      <c r="J2" s="191"/>
      <c r="K2" s="192"/>
    </row>
    <row r="3" spans="1:49" ht="15.75" customHeight="1" thickBot="1">
      <c r="A3" s="63" t="s">
        <v>140</v>
      </c>
      <c r="B3" s="64" t="s">
        <v>23</v>
      </c>
      <c r="C3" s="64" t="s">
        <v>22</v>
      </c>
      <c r="D3" s="64" t="s">
        <v>24</v>
      </c>
      <c r="E3" s="64" t="s">
        <v>25</v>
      </c>
      <c r="F3" s="64" t="s">
        <v>26</v>
      </c>
      <c r="G3" s="64" t="s">
        <v>16</v>
      </c>
      <c r="H3" s="64" t="s">
        <v>17</v>
      </c>
      <c r="I3" s="64" t="s">
        <v>18</v>
      </c>
      <c r="J3" s="64" t="s">
        <v>19</v>
      </c>
      <c r="K3" s="65" t="s">
        <v>188</v>
      </c>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c r="A4" s="126" t="s">
        <v>111</v>
      </c>
      <c r="B4" s="123">
        <v>746.83</v>
      </c>
      <c r="C4" s="123">
        <v>936.08</v>
      </c>
      <c r="D4" s="123">
        <v>625.04999999999995</v>
      </c>
      <c r="E4" s="123">
        <v>1211.78</v>
      </c>
      <c r="F4" s="123">
        <v>1359.03</v>
      </c>
      <c r="G4" s="123">
        <v>2686.64</v>
      </c>
      <c r="H4" s="123">
        <v>2254.16</v>
      </c>
      <c r="I4" s="123">
        <v>2359.7800000000002</v>
      </c>
      <c r="J4" s="123">
        <v>1890.43</v>
      </c>
      <c r="K4" s="124">
        <v>2963.41</v>
      </c>
      <c r="L4" s="2"/>
      <c r="M4" s="2"/>
      <c r="N4" s="154" t="s">
        <v>172</v>
      </c>
      <c r="O4" s="196"/>
      <c r="P4" s="196"/>
      <c r="Q4" s="196"/>
      <c r="R4" s="197"/>
    </row>
    <row r="5" spans="1:49">
      <c r="A5" s="126" t="s">
        <v>112</v>
      </c>
      <c r="B5" s="123">
        <v>-219.26</v>
      </c>
      <c r="C5" s="123">
        <v>-398.94</v>
      </c>
      <c r="D5" s="123">
        <v>-519.03</v>
      </c>
      <c r="E5" s="123">
        <v>-374.92</v>
      </c>
      <c r="F5" s="123">
        <v>-315.08</v>
      </c>
      <c r="G5" s="123">
        <v>-211.57</v>
      </c>
      <c r="H5" s="123">
        <v>-364.12</v>
      </c>
      <c r="I5" s="123">
        <v>-565.04999999999995</v>
      </c>
      <c r="J5" s="123">
        <v>-607.64</v>
      </c>
      <c r="K5" s="124">
        <v>-936.8</v>
      </c>
      <c r="L5" s="2"/>
      <c r="M5" s="2"/>
      <c r="N5" s="198"/>
      <c r="O5" s="199"/>
      <c r="P5" s="199"/>
      <c r="Q5" s="199"/>
      <c r="R5" s="200"/>
    </row>
    <row r="6" spans="1:49" ht="15.75">
      <c r="A6" s="98" t="s">
        <v>116</v>
      </c>
      <c r="B6" s="33">
        <f>B4+B5</f>
        <v>527.57000000000005</v>
      </c>
      <c r="C6" s="33">
        <f t="shared" ref="C6:K6" si="0">C4+C5</f>
        <v>537.1400000000001</v>
      </c>
      <c r="D6" s="33">
        <f t="shared" si="0"/>
        <v>106.01999999999998</v>
      </c>
      <c r="E6" s="33">
        <f t="shared" si="0"/>
        <v>836.8599999999999</v>
      </c>
      <c r="F6" s="33">
        <f t="shared" si="0"/>
        <v>1043.95</v>
      </c>
      <c r="G6" s="33">
        <f t="shared" si="0"/>
        <v>2475.0699999999997</v>
      </c>
      <c r="H6" s="33">
        <f t="shared" si="0"/>
        <v>1890.04</v>
      </c>
      <c r="I6" s="33">
        <f t="shared" si="0"/>
        <v>1794.7300000000002</v>
      </c>
      <c r="J6" s="33">
        <f t="shared" si="0"/>
        <v>1282.79</v>
      </c>
      <c r="K6" s="99">
        <f t="shared" si="0"/>
        <v>2026.61</v>
      </c>
      <c r="L6" s="2"/>
      <c r="M6" s="2"/>
      <c r="N6" s="198"/>
      <c r="O6" s="199"/>
      <c r="P6" s="199"/>
      <c r="Q6" s="199"/>
      <c r="R6" s="200"/>
    </row>
    <row r="7" spans="1:49">
      <c r="A7" s="122" t="s">
        <v>113</v>
      </c>
      <c r="B7" s="123">
        <v>-562.85</v>
      </c>
      <c r="C7" s="123">
        <v>-323.49</v>
      </c>
      <c r="D7" s="123">
        <v>-273.13</v>
      </c>
      <c r="E7" s="123">
        <v>-781.01</v>
      </c>
      <c r="F7" s="123">
        <v>-861.19</v>
      </c>
      <c r="G7" s="123">
        <v>-527.63</v>
      </c>
      <c r="H7" s="123">
        <v>-1322.31</v>
      </c>
      <c r="I7" s="123">
        <v>92.79</v>
      </c>
      <c r="J7" s="123">
        <v>-732.94</v>
      </c>
      <c r="K7" s="124">
        <v>-1619.32</v>
      </c>
      <c r="N7" s="198"/>
      <c r="O7" s="199"/>
      <c r="P7" s="199"/>
      <c r="Q7" s="199"/>
      <c r="R7" s="200"/>
    </row>
    <row r="8" spans="1:49" ht="15.75" thickBot="1">
      <c r="A8" s="122" t="s">
        <v>114</v>
      </c>
      <c r="B8" s="123">
        <v>-203.51</v>
      </c>
      <c r="C8" s="123">
        <v>-471.23</v>
      </c>
      <c r="D8" s="123">
        <v>-493.46</v>
      </c>
      <c r="E8" s="123">
        <v>-432.33</v>
      </c>
      <c r="F8" s="123">
        <v>-499.93</v>
      </c>
      <c r="G8" s="123">
        <v>-2109.31</v>
      </c>
      <c r="H8" s="123">
        <v>-955.23</v>
      </c>
      <c r="I8" s="123">
        <v>-2458.16</v>
      </c>
      <c r="J8" s="123">
        <v>-1056.27</v>
      </c>
      <c r="K8" s="124">
        <v>-1414.93</v>
      </c>
      <c r="N8" s="201"/>
      <c r="O8" s="202"/>
      <c r="P8" s="202"/>
      <c r="Q8" s="202"/>
      <c r="R8" s="203"/>
    </row>
    <row r="9" spans="1:49" ht="16.5" thickBot="1">
      <c r="A9" s="100" t="s">
        <v>115</v>
      </c>
      <c r="B9" s="101">
        <f t="shared" ref="B9:J9" si="1">B4+B7+B8</f>
        <v>-19.529999999999973</v>
      </c>
      <c r="C9" s="101">
        <f t="shared" si="1"/>
        <v>141.36000000000001</v>
      </c>
      <c r="D9" s="101">
        <f t="shared" si="1"/>
        <v>-141.54000000000002</v>
      </c>
      <c r="E9" s="101">
        <f t="shared" si="1"/>
        <v>-1.5600000000000023</v>
      </c>
      <c r="F9" s="101">
        <f t="shared" si="1"/>
        <v>-2.0900000000000887</v>
      </c>
      <c r="G9" s="101">
        <f t="shared" si="1"/>
        <v>49.699999999999818</v>
      </c>
      <c r="H9" s="101">
        <f t="shared" si="1"/>
        <v>-23.380000000000109</v>
      </c>
      <c r="I9" s="101">
        <f t="shared" si="1"/>
        <v>-5.5899999999996908</v>
      </c>
      <c r="J9" s="101">
        <f t="shared" si="1"/>
        <v>101.22000000000003</v>
      </c>
      <c r="K9" s="102">
        <f>K4+K7+K8</f>
        <v>-70.840000000000146</v>
      </c>
    </row>
  </sheetData>
  <mergeCells count="3">
    <mergeCell ref="A1:K1"/>
    <mergeCell ref="A2:K2"/>
    <mergeCell ref="N4:R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dimension ref="A1:U36"/>
  <sheetViews>
    <sheetView workbookViewId="0">
      <selection sqref="A1:K1"/>
    </sheetView>
  </sheetViews>
  <sheetFormatPr defaultColWidth="7.28515625" defaultRowHeight="15"/>
  <cols>
    <col min="1" max="1" width="36.7109375" style="3" bestFit="1" customWidth="1"/>
    <col min="2" max="6" width="8.42578125" style="3" bestFit="1" customWidth="1"/>
    <col min="7" max="7" width="10.28515625" style="3" bestFit="1" customWidth="1"/>
    <col min="8" max="10" width="8.42578125" style="3" bestFit="1" customWidth="1"/>
    <col min="11" max="11" width="10.140625" style="3" bestFit="1" customWidth="1"/>
    <col min="12" max="16384" width="7.28515625" style="3"/>
  </cols>
  <sheetData>
    <row r="1" spans="1:21" s="21" customFormat="1" ht="20.25" thickBot="1">
      <c r="A1" s="187" t="s">
        <v>192</v>
      </c>
      <c r="B1" s="188"/>
      <c r="C1" s="188"/>
      <c r="D1" s="188"/>
      <c r="E1" s="188"/>
      <c r="F1" s="188"/>
      <c r="G1" s="188"/>
      <c r="H1" s="188"/>
      <c r="I1" s="188"/>
      <c r="J1" s="188"/>
      <c r="K1" s="189"/>
    </row>
    <row r="2" spans="1:21" s="21" customFormat="1" ht="15.75" thickBot="1">
      <c r="A2" s="205" t="s">
        <v>158</v>
      </c>
      <c r="B2" s="205"/>
      <c r="C2" s="205"/>
      <c r="D2" s="205"/>
      <c r="E2" s="205"/>
      <c r="F2" s="205"/>
      <c r="G2" s="205"/>
      <c r="H2" s="205"/>
      <c r="I2" s="205"/>
      <c r="J2" s="205"/>
      <c r="K2" s="205"/>
    </row>
    <row r="3" spans="1:21" s="22" customFormat="1" ht="15.75" customHeight="1">
      <c r="A3" s="85" t="s">
        <v>49</v>
      </c>
      <c r="B3" s="64" t="s">
        <v>23</v>
      </c>
      <c r="C3" s="64" t="s">
        <v>22</v>
      </c>
      <c r="D3" s="64" t="s">
        <v>24</v>
      </c>
      <c r="E3" s="64" t="s">
        <v>25</v>
      </c>
      <c r="F3" s="64" t="s">
        <v>26</v>
      </c>
      <c r="G3" s="64" t="s">
        <v>16</v>
      </c>
      <c r="H3" s="64" t="s">
        <v>17</v>
      </c>
      <c r="I3" s="64" t="s">
        <v>18</v>
      </c>
      <c r="J3" s="64" t="s">
        <v>19</v>
      </c>
      <c r="K3" s="65" t="s">
        <v>188</v>
      </c>
      <c r="O3" s="154" t="s">
        <v>170</v>
      </c>
      <c r="P3" s="155"/>
      <c r="Q3" s="155"/>
      <c r="R3" s="155"/>
      <c r="S3" s="155"/>
      <c r="T3" s="155"/>
      <c r="U3" s="156"/>
    </row>
    <row r="4" spans="1:21" ht="15" customHeight="1">
      <c r="A4" s="86" t="s">
        <v>156</v>
      </c>
      <c r="B4" s="28">
        <f>'P &amp; L Account'!B28</f>
        <v>40.584376564847261</v>
      </c>
      <c r="C4" s="28">
        <f>'P &amp; L Account'!C28</f>
        <v>48.639959939909765</v>
      </c>
      <c r="D4" s="28">
        <f>'P &amp; L Account'!D28</f>
        <v>42.958938407611399</v>
      </c>
      <c r="E4" s="28">
        <f>'P &amp; L Account'!E28</f>
        <v>48.466700050075026</v>
      </c>
      <c r="F4" s="28">
        <f>'P &amp; L Account'!F28</f>
        <v>64.184276414622033</v>
      </c>
      <c r="G4" s="28">
        <f>'P &amp; L Account'!G28</f>
        <v>111.75913870806217</v>
      </c>
      <c r="H4" s="28">
        <f>'P &amp; L Account'!H28</f>
        <v>96.539809714571774</v>
      </c>
      <c r="I4" s="28">
        <f>'P &amp; L Account'!I28</f>
        <v>119.08512769153727</v>
      </c>
      <c r="J4" s="28">
        <f>'P &amp; L Account'!J28</f>
        <v>106.0671006509766</v>
      </c>
      <c r="K4" s="87">
        <f>'P &amp; L Account'!K28</f>
        <v>105.61241862794169</v>
      </c>
      <c r="O4" s="157"/>
      <c r="P4" s="158"/>
      <c r="Q4" s="158"/>
      <c r="R4" s="158"/>
      <c r="S4" s="158"/>
      <c r="T4" s="158"/>
      <c r="U4" s="159"/>
    </row>
    <row r="5" spans="1:21" ht="15" customHeight="1">
      <c r="A5" s="86" t="s">
        <v>157</v>
      </c>
      <c r="B5" s="28">
        <f>'Balance Sheet'!B7/'First Page'!$B$16</f>
        <v>74.781171757636471</v>
      </c>
      <c r="C5" s="28">
        <f>'Balance Sheet'!C7/'First Page'!$B$16</f>
        <v>100.61742613920883</v>
      </c>
      <c r="D5" s="28">
        <f>'Balance Sheet'!D7/'First Page'!$B$16</f>
        <v>123.6885327991988</v>
      </c>
      <c r="E5" s="28">
        <f>'Balance Sheet'!E7/'First Page'!$B$16</f>
        <v>149.53630445668506</v>
      </c>
      <c r="F5" s="28">
        <f>'Balance Sheet'!F7/'First Page'!$B$16</f>
        <v>190.32298447671508</v>
      </c>
      <c r="G5" s="28">
        <f>'Balance Sheet'!G7/'First Page'!$B$16</f>
        <v>173.51126690035053</v>
      </c>
      <c r="H5" s="28">
        <f>'Balance Sheet'!H7/'First Page'!$B$16</f>
        <v>148.0250375563345</v>
      </c>
      <c r="I5" s="28">
        <f>'Balance Sheet'!I7/'First Page'!$B$16</f>
        <v>214.81372058087132</v>
      </c>
      <c r="J5" s="28">
        <f>'Balance Sheet'!J7/'First Page'!$B$16</f>
        <v>250.6880320480721</v>
      </c>
      <c r="K5" s="87">
        <f>'Balance Sheet'!K7/'First Page'!$B$16</f>
        <v>280.41412118177266</v>
      </c>
      <c r="O5" s="157"/>
      <c r="P5" s="158"/>
      <c r="Q5" s="158"/>
      <c r="R5" s="158"/>
      <c r="S5" s="158"/>
      <c r="T5" s="158"/>
      <c r="U5" s="159"/>
    </row>
    <row r="6" spans="1:21" ht="15" customHeight="1">
      <c r="A6" s="86" t="s">
        <v>58</v>
      </c>
      <c r="B6" s="35">
        <f>'P &amp; L Account'!B23/'P &amp; L Account'!B22</f>
        <v>0.33417950297802429</v>
      </c>
      <c r="C6" s="35">
        <f>'P &amp; L Account'!C23/'P &amp; L Account'!C22</f>
        <v>0.31219905964991829</v>
      </c>
      <c r="D6" s="35">
        <f>'P &amp; L Account'!D23/'P &amp; L Account'!D22</f>
        <v>0.31154000481502292</v>
      </c>
      <c r="E6" s="35">
        <f>'P &amp; L Account'!E23/'P &amp; L Account'!E22</f>
        <v>0.3136965708937236</v>
      </c>
      <c r="F6" s="35">
        <f>'P &amp; L Account'!F23/'P &amp; L Account'!F22</f>
        <v>0.28050026382854482</v>
      </c>
      <c r="G6" s="35">
        <f>'P &amp; L Account'!G23/'P &amp; L Account'!G22</f>
        <v>0.21184929354140392</v>
      </c>
      <c r="H6" s="35">
        <f>'P &amp; L Account'!H23/'P &amp; L Account'!H22</f>
        <v>0.19829837488980204</v>
      </c>
      <c r="I6" s="35">
        <f>'P &amp; L Account'!I23/'P &amp; L Account'!I22</f>
        <v>0.1698531439482531</v>
      </c>
      <c r="J6" s="35">
        <f>'P &amp; L Account'!J23/'P &amp; L Account'!J22</f>
        <v>0.16251779218725274</v>
      </c>
      <c r="K6" s="88">
        <f>'P &amp; L Account'!K23/'P &amp; L Account'!K22</f>
        <v>0.26442409974714487</v>
      </c>
      <c r="O6" s="157"/>
      <c r="P6" s="158"/>
      <c r="Q6" s="158"/>
      <c r="R6" s="158"/>
      <c r="S6" s="158"/>
      <c r="T6" s="158"/>
      <c r="U6" s="159"/>
    </row>
    <row r="7" spans="1:21" ht="15" customHeight="1" thickBot="1">
      <c r="A7" s="1"/>
      <c r="B7" s="1"/>
      <c r="C7" s="1"/>
      <c r="D7" s="1"/>
      <c r="E7" s="1"/>
      <c r="F7" s="1"/>
      <c r="G7" s="1"/>
      <c r="H7" s="1"/>
      <c r="I7" s="1"/>
      <c r="J7" s="1"/>
      <c r="K7" s="1"/>
      <c r="O7" s="157"/>
      <c r="P7" s="158"/>
      <c r="Q7" s="158"/>
      <c r="R7" s="158"/>
      <c r="S7" s="158"/>
      <c r="T7" s="158"/>
      <c r="U7" s="159"/>
    </row>
    <row r="8" spans="1:21" ht="15.75" customHeight="1" thickBot="1">
      <c r="A8" s="85" t="s">
        <v>53</v>
      </c>
      <c r="B8" s="64" t="s">
        <v>23</v>
      </c>
      <c r="C8" s="64" t="s">
        <v>22</v>
      </c>
      <c r="D8" s="64" t="s">
        <v>24</v>
      </c>
      <c r="E8" s="64" t="s">
        <v>25</v>
      </c>
      <c r="F8" s="64" t="s">
        <v>26</v>
      </c>
      <c r="G8" s="64" t="s">
        <v>16</v>
      </c>
      <c r="H8" s="64" t="s">
        <v>17</v>
      </c>
      <c r="I8" s="64" t="s">
        <v>18</v>
      </c>
      <c r="J8" s="64" t="s">
        <v>19</v>
      </c>
      <c r="K8" s="65" t="s">
        <v>20</v>
      </c>
      <c r="O8" s="160"/>
      <c r="P8" s="161"/>
      <c r="Q8" s="161"/>
      <c r="R8" s="161"/>
      <c r="S8" s="161"/>
      <c r="T8" s="161"/>
      <c r="U8" s="162"/>
    </row>
    <row r="9" spans="1:21" ht="15.75" thickBot="1">
      <c r="A9" s="86" t="s">
        <v>119</v>
      </c>
      <c r="B9" s="35">
        <f>('P &amp; L Account'!B4-'P &amp; L Account'!B7-'P &amp; L Account'!B8-'P &amp; L Account'!B10)/'P &amp; L Account'!B4</f>
        <v>0.25750742759359441</v>
      </c>
      <c r="C9" s="35">
        <f>('P &amp; L Account'!C4-'P &amp; L Account'!C7-'P &amp; L Account'!C8-'P &amp; L Account'!C10)/'P &amp; L Account'!C4</f>
        <v>0.25805774169782342</v>
      </c>
      <c r="D9" s="35">
        <f>('P &amp; L Account'!D4-'P &amp; L Account'!D7-'P &amp; L Account'!D8-'P &amp; L Account'!D10)/'P &amp; L Account'!D4</f>
        <v>0.22693324013430355</v>
      </c>
      <c r="E9" s="35">
        <f>('P &amp; L Account'!E4-'P &amp; L Account'!E7-'P &amp; L Account'!E8-'P &amp; L Account'!E10)/'P &amp; L Account'!E4</f>
        <v>0.23431541454538402</v>
      </c>
      <c r="F9" s="35">
        <f>('P &amp; L Account'!F4-'P &amp; L Account'!F7-'P &amp; L Account'!F8-'P &amp; L Account'!F10)/'P &amp; L Account'!F4</f>
        <v>0.24154322711362503</v>
      </c>
      <c r="G9" s="35">
        <f>('P &amp; L Account'!G4-'P &amp; L Account'!G7-'P &amp; L Account'!G8-'P &amp; L Account'!G10)/'P &amp; L Account'!G4</f>
        <v>0.272527664996846</v>
      </c>
      <c r="H9" s="35">
        <f>('P &amp; L Account'!H4-'P &amp; L Account'!H7-'P &amp; L Account'!H8-'P &amp; L Account'!H10)/'P &amp; L Account'!H4</f>
        <v>0.23498383590414038</v>
      </c>
      <c r="I9" s="35">
        <f>('P &amp; L Account'!I4-'P &amp; L Account'!I7-'P &amp; L Account'!I8-'P &amp; L Account'!I10)/'P &amp; L Account'!I4</f>
        <v>0.24813658577134004</v>
      </c>
      <c r="J9" s="35">
        <f>('P &amp; L Account'!J4-'P &amp; L Account'!J7-'P &amp; L Account'!J8-'P &amp; L Account'!J10)/'P &amp; L Account'!J4</f>
        <v>0.24676551900845289</v>
      </c>
      <c r="K9" s="88">
        <f>('P &amp; L Account'!K4-'P &amp; L Account'!K7-'P &amp; L Account'!K8-'P &amp; L Account'!K10)/'P &amp; L Account'!K4</f>
        <v>0.25496024406272166</v>
      </c>
    </row>
    <row r="10" spans="1:21" ht="15.75" customHeight="1">
      <c r="A10" s="86" t="s">
        <v>59</v>
      </c>
      <c r="B10" s="35">
        <f>'P &amp; L Account'!B16/'P &amp; L Account'!B4</f>
        <v>0.1557362581097195</v>
      </c>
      <c r="C10" s="35">
        <f>'P &amp; L Account'!C16/'P &amp; L Account'!C4</f>
        <v>0.15310569911796884</v>
      </c>
      <c r="D10" s="35">
        <f>'P &amp; L Account'!D16/'P &amp; L Account'!D4</f>
        <v>0.1144853110517618</v>
      </c>
      <c r="E10" s="35">
        <f>'P &amp; L Account'!E16/'P &amp; L Account'!E4</f>
        <v>0.1258406086064382</v>
      </c>
      <c r="F10" s="35">
        <f>'P &amp; L Account'!F16/'P &amp; L Account'!F4</f>
        <v>0.1321604140555496</v>
      </c>
      <c r="G10" s="35">
        <f>'P &amp; L Account'!G16/'P &amp; L Account'!G4</f>
        <v>0.16574185597575361</v>
      </c>
      <c r="H10" s="35">
        <f>'P &amp; L Account'!H16/'P &amp; L Account'!H4</f>
        <v>0.13186664762683434</v>
      </c>
      <c r="I10" s="35">
        <f>'P &amp; L Account'!I16/'P &amp; L Account'!I4</f>
        <v>0.14993492098699565</v>
      </c>
      <c r="J10" s="35">
        <f>'P &amp; L Account'!J16/'P &amp; L Account'!J4</f>
        <v>0.13425678356419599</v>
      </c>
      <c r="K10" s="88">
        <f>'P &amp; L Account'!K16/'P &amp; L Account'!K4</f>
        <v>0.13638559441228967</v>
      </c>
      <c r="L10" s="8"/>
      <c r="O10" s="154" t="s">
        <v>171</v>
      </c>
      <c r="P10" s="196"/>
      <c r="Q10" s="196"/>
      <c r="R10" s="196"/>
      <c r="S10" s="196"/>
      <c r="T10" s="196"/>
      <c r="U10" s="197"/>
    </row>
    <row r="11" spans="1:21" ht="15.75" customHeight="1">
      <c r="A11" s="86" t="s">
        <v>60</v>
      </c>
      <c r="B11" s="35">
        <f>'P &amp; L Account'!B19/'P &amp; L Account'!B4</f>
        <v>0.16427344323701601</v>
      </c>
      <c r="C11" s="35">
        <f>'P &amp; L Account'!C19/'P &amp; L Account'!C4</f>
        <v>0.16240110718638304</v>
      </c>
      <c r="D11" s="35">
        <f>'P &amp; L Account'!D19/'P &amp; L Account'!D4</f>
        <v>0.12603182235079735</v>
      </c>
      <c r="E11" s="35">
        <f>'P &amp; L Account'!E19/'P &amp; L Account'!E4</f>
        <v>0.13669254147389595</v>
      </c>
      <c r="F11" s="35">
        <f>'P &amp; L Account'!F19/'P &amp; L Account'!F4</f>
        <v>0.14481472702595655</v>
      </c>
      <c r="G11" s="35">
        <f>'P &amp; L Account'!G19/'P &amp; L Account'!G4</f>
        <v>0.17983231566081878</v>
      </c>
      <c r="H11" s="35">
        <f>'P &amp; L Account'!H19/'P &amp; L Account'!H4</f>
        <v>0.12886787404635436</v>
      </c>
      <c r="I11" s="35">
        <f>'P &amp; L Account'!I19/'P &amp; L Account'!I4</f>
        <v>0.12239731659868958</v>
      </c>
      <c r="J11" s="35">
        <f>'P &amp; L Account'!J19/'P &amp; L Account'!J4</f>
        <v>0.10691258160619428</v>
      </c>
      <c r="K11" s="88">
        <f>'P &amp; L Account'!K19/'P &amp; L Account'!K4</f>
        <v>0.11390767412040194</v>
      </c>
      <c r="L11" s="8"/>
      <c r="O11" s="198"/>
      <c r="P11" s="199"/>
      <c r="Q11" s="199"/>
      <c r="R11" s="199"/>
      <c r="S11" s="199"/>
      <c r="T11" s="199"/>
      <c r="U11" s="200"/>
    </row>
    <row r="12" spans="1:21" ht="15" customHeight="1" thickBot="1">
      <c r="A12" s="89" t="s">
        <v>61</v>
      </c>
      <c r="B12" s="90">
        <f>'P &amp; L Account'!B27/'P &amp; L Account'!B4</f>
        <v>0.10920347901073209</v>
      </c>
      <c r="C12" s="90">
        <f>'P &amp; L Account'!C27/'P &amp; L Account'!C4</f>
        <v>0.11146915645893128</v>
      </c>
      <c r="D12" s="90">
        <f>'P &amp; L Account'!D27/'P &amp; L Account'!D4</f>
        <v>8.665590568042697E-2</v>
      </c>
      <c r="E12" s="90">
        <f>'P &amp; L Account'!E27/'P &amp; L Account'!E4</f>
        <v>9.3679707311407331E-2</v>
      </c>
      <c r="F12" s="90">
        <f>'P &amp; L Account'!F27/'P &amp; L Account'!F4</f>
        <v>0.10404639292417006</v>
      </c>
      <c r="G12" s="90">
        <f>'P &amp; L Account'!G27/'P &amp; L Account'!G4</f>
        <v>0.14162993442136093</v>
      </c>
      <c r="H12" s="90">
        <f>'P &amp; L Account'!H27/'P &amp; L Account'!H4</f>
        <v>9.9386893343774221E-2</v>
      </c>
      <c r="I12" s="90">
        <f>'P &amp; L Account'!I27/'P &amp; L Account'!I4</f>
        <v>0.10085783851159269</v>
      </c>
      <c r="J12" s="90">
        <f>'P &amp; L Account'!J27/'P &amp; L Account'!J4</f>
        <v>8.9117729596505671E-2</v>
      </c>
      <c r="K12" s="91">
        <f>'P &amp; L Account'!K27/'P &amp; L Account'!K4</f>
        <v>8.3443750007418077E-2</v>
      </c>
      <c r="O12" s="198"/>
      <c r="P12" s="199"/>
      <c r="Q12" s="199"/>
      <c r="R12" s="199"/>
      <c r="S12" s="199"/>
      <c r="T12" s="199"/>
      <c r="U12" s="200"/>
    </row>
    <row r="13" spans="1:21" ht="15" customHeight="1" thickBot="1">
      <c r="A13" s="1"/>
      <c r="B13" s="1"/>
      <c r="C13" s="1"/>
      <c r="D13" s="1"/>
      <c r="E13" s="1"/>
      <c r="F13" s="1"/>
      <c r="G13" s="1"/>
      <c r="H13" s="1"/>
      <c r="I13" s="1"/>
      <c r="J13" s="1"/>
      <c r="K13" s="1"/>
      <c r="O13" s="198"/>
      <c r="P13" s="199"/>
      <c r="Q13" s="199"/>
      <c r="R13" s="199"/>
      <c r="S13" s="199"/>
      <c r="T13" s="199"/>
      <c r="U13" s="200"/>
    </row>
    <row r="14" spans="1:21" ht="15.75" customHeight="1" thickBot="1">
      <c r="A14" s="85" t="s">
        <v>50</v>
      </c>
      <c r="B14" s="64" t="s">
        <v>23</v>
      </c>
      <c r="C14" s="64" t="s">
        <v>22</v>
      </c>
      <c r="D14" s="64" t="s">
        <v>24</v>
      </c>
      <c r="E14" s="64" t="s">
        <v>25</v>
      </c>
      <c r="F14" s="64" t="s">
        <v>26</v>
      </c>
      <c r="G14" s="64" t="s">
        <v>16</v>
      </c>
      <c r="H14" s="64" t="s">
        <v>17</v>
      </c>
      <c r="I14" s="64" t="s">
        <v>18</v>
      </c>
      <c r="J14" s="64" t="s">
        <v>19</v>
      </c>
      <c r="K14" s="65" t="s">
        <v>20</v>
      </c>
      <c r="O14" s="201"/>
      <c r="P14" s="202"/>
      <c r="Q14" s="202"/>
      <c r="R14" s="202"/>
      <c r="S14" s="202"/>
      <c r="T14" s="202"/>
      <c r="U14" s="203"/>
    </row>
    <row r="15" spans="1:21" ht="15.75" customHeight="1" thickBot="1">
      <c r="A15" s="86" t="s">
        <v>62</v>
      </c>
      <c r="B15" s="35">
        <f>'P &amp; L Account'!B27/'Balance Sheet'!B7</f>
        <v>0.54270848678835915</v>
      </c>
      <c r="C15" s="35">
        <f>'P &amp; L Account'!C27/'Balance Sheet'!C7</f>
        <v>0.48341486963316027</v>
      </c>
      <c r="D15" s="35">
        <f>'P &amp; L Account'!D27/'Balance Sheet'!D7</f>
        <v>0.34731544982712959</v>
      </c>
      <c r="E15" s="35">
        <f>'P &amp; L Account'!E27/'Balance Sheet'!E7</f>
        <v>0.32411326618088232</v>
      </c>
      <c r="F15" s="35">
        <f>'P &amp; L Account'!F27/'Balance Sheet'!F7</f>
        <v>0.3372387028875885</v>
      </c>
      <c r="G15" s="35">
        <f>'P &amp; L Account'!G27/'Balance Sheet'!G7</f>
        <v>0.64410306434017739</v>
      </c>
      <c r="H15" s="35">
        <f>'P &amp; L Account'!H27/'Balance Sheet'!H7</f>
        <v>0.65218567958701723</v>
      </c>
      <c r="I15" s="35">
        <f>'P &amp; L Account'!I27/'Balance Sheet'!I7</f>
        <v>0.55436462517162666</v>
      </c>
      <c r="J15" s="35">
        <f>'P &amp; L Account'!J27/'Balance Sheet'!J7</f>
        <v>0.42310396625012037</v>
      </c>
      <c r="K15" s="88">
        <f>'P &amp; L Account'!K27/'Balance Sheet'!K7</f>
        <v>0.37663017177184388</v>
      </c>
    </row>
    <row r="16" spans="1:21" ht="19.5" customHeight="1">
      <c r="A16" s="86" t="s">
        <v>63</v>
      </c>
      <c r="B16" s="35">
        <f>('P &amp; L Account'!B19*(1-Ratios!B6))/('Balance Sheet'!B20+'Balance Sheet'!B21+'Balance Sheet'!B25-'Balance Sheet'!B12)</f>
        <v>0.51059234859025926</v>
      </c>
      <c r="C16" s="35">
        <f>('P &amp; L Account'!C19*(1-Ratios!C6))/('Balance Sheet'!C20+'Balance Sheet'!C21+'Balance Sheet'!C25-'Balance Sheet'!C12)</f>
        <v>0.46202076153728089</v>
      </c>
      <c r="D16" s="35">
        <f>('P &amp; L Account'!D19*(1-Ratios!D6))/('Balance Sheet'!D20+'Balance Sheet'!D21+'Balance Sheet'!D25-'Balance Sheet'!D12)</f>
        <v>0.35646489938552112</v>
      </c>
      <c r="E16" s="35">
        <f>('P &amp; L Account'!E19*(1-Ratios!E6))/('Balance Sheet'!E20+'Balance Sheet'!E21+'Balance Sheet'!E25-'Balance Sheet'!E12)</f>
        <v>0.36811720731417047</v>
      </c>
      <c r="F16" s="35">
        <f>('P &amp; L Account'!F19*(1-Ratios!F6))/('Balance Sheet'!F20+'Balance Sheet'!F21+'Balance Sheet'!F25-'Balance Sheet'!F12)</f>
        <v>0.3409117149249471</v>
      </c>
      <c r="G16" s="35">
        <f>('P &amp; L Account'!G19*(1-Ratios!G6))/('Balance Sheet'!G20+'Balance Sheet'!G21+'Balance Sheet'!G25-'Balance Sheet'!G12)</f>
        <v>0.67920736306545937</v>
      </c>
      <c r="H16" s="35">
        <f>('P &amp; L Account'!H19*(1-Ratios!H6))/('Balance Sheet'!H20+'Balance Sheet'!H21+'Balance Sheet'!H25-'Balance Sheet'!H12)</f>
        <v>0.52251771555106696</v>
      </c>
      <c r="I16" s="35">
        <f>('P &amp; L Account'!I19*(1-Ratios!I6))/('Balance Sheet'!I20+'Balance Sheet'!I21+'Balance Sheet'!I25-'Balance Sheet'!I12)</f>
        <v>0.56041995682694634</v>
      </c>
      <c r="J16" s="35">
        <f>('P &amp; L Account'!J19*(1-Ratios!J6))/('Balance Sheet'!J20+'Balance Sheet'!J21+'Balance Sheet'!J25-'Balance Sheet'!J12)</f>
        <v>0.534988074917495</v>
      </c>
      <c r="K16" s="88">
        <f>('P &amp; L Account'!K19*(1-Ratios!K6))/('Balance Sheet'!K20+'Balance Sheet'!K21+'Balance Sheet'!K22+'Balance Sheet'!K25-'Balance Sheet'!K12)</f>
        <v>0.50062750745607454</v>
      </c>
      <c r="O16" s="204" t="s">
        <v>183</v>
      </c>
      <c r="P16" s="196"/>
      <c r="Q16" s="196"/>
      <c r="R16" s="196"/>
      <c r="S16" s="196"/>
      <c r="T16" s="196"/>
      <c r="U16" s="197"/>
    </row>
    <row r="17" spans="1:21" ht="15.75" customHeight="1">
      <c r="A17" s="86" t="s">
        <v>64</v>
      </c>
      <c r="B17" s="35">
        <f>('P &amp; L Account'!B19*(1-Ratios!B6))/('Balance Sheet'!B7+'Balance Sheet'!B10+'Balance Sheet'!B13-'Balance Sheet'!B26-'Balance Sheet'!B29)</f>
        <v>-4.4177144683496747</v>
      </c>
      <c r="C17" s="35">
        <f>('P &amp; L Account'!C19*(1-Ratios!C6))/('Balance Sheet'!C7+'Balance Sheet'!C10+'Balance Sheet'!C13-'Balance Sheet'!C26-'Balance Sheet'!C29)</f>
        <v>7.0799271075488797</v>
      </c>
      <c r="D17" s="35">
        <f>('P &amp; L Account'!D19*(1-Ratios!D6))/('Balance Sheet'!D7+'Balance Sheet'!D10+'Balance Sheet'!D13-'Balance Sheet'!D26-'Balance Sheet'!D29)</f>
        <v>1.0882765172455373</v>
      </c>
      <c r="E17" s="35">
        <f>('P &amp; L Account'!E19*(1-Ratios!E6))/('Balance Sheet'!E7+'Balance Sheet'!E10+'Balance Sheet'!E13-'Balance Sheet'!E26-'Balance Sheet'!E29)</f>
        <v>1.5571573730552015</v>
      </c>
      <c r="F17" s="35">
        <f>('P &amp; L Account'!F19*(1-Ratios!F6))/('Balance Sheet'!F7+'Balance Sheet'!F10+'Balance Sheet'!F13-'Balance Sheet'!F26-'Balance Sheet'!F29)</f>
        <v>2.9926565814098929</v>
      </c>
      <c r="G17" s="35">
        <f>('P &amp; L Account'!G19*(1-Ratios!G6))/('Balance Sheet'!G7+'Balance Sheet'!G10+'Balance Sheet'!G13-'Balance Sheet'!G26-'Balance Sheet'!G29)</f>
        <v>-1.1426931189736744</v>
      </c>
      <c r="H17" s="35">
        <f>('P &amp; L Account'!H19*(1-Ratios!H6))/('Balance Sheet'!H7+'Balance Sheet'!H10+'Balance Sheet'!H13-'Balance Sheet'!H26-'Balance Sheet'!H29)</f>
        <v>-6.5128519430688669</v>
      </c>
      <c r="I17" s="35">
        <f>('P &amp; L Account'!I19*(1-Ratios!I6))/('Balance Sheet'!I7+'Balance Sheet'!I10+'Balance Sheet'!I13-'Balance Sheet'!I26-'Balance Sheet'!I29)</f>
        <v>1.238721952346777</v>
      </c>
      <c r="J17" s="35">
        <f>('P &amp; L Account'!J19*(1-Ratios!J6))/('Balance Sheet'!J7+'Balance Sheet'!J10+'Balance Sheet'!J13-'Balance Sheet'!J26-'Balance Sheet'!J29)</f>
        <v>1.0047848975897322</v>
      </c>
      <c r="K17" s="88">
        <f>('P &amp; L Account'!K19*(1-Ratios!K6))/('Balance Sheet'!K7+'Balance Sheet'!K10+'Balance Sheet'!K13-'Balance Sheet'!K26-'Balance Sheet'!K29)</f>
        <v>0.94927877931669069</v>
      </c>
      <c r="O17" s="198"/>
      <c r="P17" s="199"/>
      <c r="Q17" s="199"/>
      <c r="R17" s="199"/>
      <c r="S17" s="199"/>
      <c r="T17" s="199"/>
      <c r="U17" s="200"/>
    </row>
    <row r="18" spans="1:21" ht="15.75" customHeight="1" thickBot="1">
      <c r="A18" s="89" t="s">
        <v>65</v>
      </c>
      <c r="B18" s="92">
        <f>'P &amp; L Account'!B4/('Balance Sheet'!B25-'Balance Sheet'!B12)</f>
        <v>8.107991478669355</v>
      </c>
      <c r="C18" s="92">
        <f>'P &amp; L Account'!C4/('Balance Sheet'!C25-'Balance Sheet'!C12)</f>
        <v>7.529252170907677</v>
      </c>
      <c r="D18" s="92">
        <f>'P &amp; L Account'!D4/('Balance Sheet'!D25-'Balance Sheet'!D12)</f>
        <v>7.9566321609978772</v>
      </c>
      <c r="E18" s="92">
        <f>'P &amp; L Account'!E4/('Balance Sheet'!E25-'Balance Sheet'!E12)</f>
        <v>6.9963568400666327</v>
      </c>
      <c r="F18" s="92">
        <f>'P &amp; L Account'!F4/('Balance Sheet'!F25-'Balance Sheet'!F12)</f>
        <v>5.6214982910702114</v>
      </c>
      <c r="G18" s="92">
        <f>'P &amp; L Account'!G4/('Balance Sheet'!G25-'Balance Sheet'!G12)</f>
        <v>9.6700274302125067</v>
      </c>
      <c r="H18" s="92">
        <f>'P &amp; L Account'!H4/('Balance Sheet'!H25-'Balance Sheet'!H12)</f>
        <v>-79.217258136970969</v>
      </c>
      <c r="I18" s="92">
        <f>'P &amp; L Account'!I4/('Balance Sheet'!I25-'Balance Sheet'!I12)</f>
        <v>48.167654028435976</v>
      </c>
      <c r="J18" s="92">
        <f>'P &amp; L Account'!J4/('Balance Sheet'!J25-'Balance Sheet'!J12)</f>
        <v>26.207215551365614</v>
      </c>
      <c r="K18" s="93">
        <f>'P &amp; L Account'!K4/('Balance Sheet'!K25-'Balance Sheet'!K12)</f>
        <v>22.31080961796485</v>
      </c>
      <c r="O18" s="198"/>
      <c r="P18" s="199"/>
      <c r="Q18" s="199"/>
      <c r="R18" s="199"/>
      <c r="S18" s="199"/>
      <c r="T18" s="199"/>
      <c r="U18" s="200"/>
    </row>
    <row r="19" spans="1:21" ht="15.75" customHeight="1" thickBot="1">
      <c r="A19" s="1"/>
      <c r="B19" s="1"/>
      <c r="C19" s="1"/>
      <c r="D19" s="1"/>
      <c r="E19" s="1"/>
      <c r="F19" s="1"/>
      <c r="G19" s="1"/>
      <c r="H19" s="1"/>
      <c r="I19" s="1"/>
      <c r="J19" s="1"/>
      <c r="K19" s="1"/>
      <c r="O19" s="198"/>
      <c r="P19" s="199"/>
      <c r="Q19" s="199"/>
      <c r="R19" s="199"/>
      <c r="S19" s="199"/>
      <c r="T19" s="199"/>
      <c r="U19" s="200"/>
    </row>
    <row r="20" spans="1:21" ht="16.5" customHeight="1" thickBot="1">
      <c r="A20" s="85" t="s">
        <v>51</v>
      </c>
      <c r="B20" s="64" t="s">
        <v>23</v>
      </c>
      <c r="C20" s="64" t="s">
        <v>22</v>
      </c>
      <c r="D20" s="64" t="s">
        <v>24</v>
      </c>
      <c r="E20" s="64" t="s">
        <v>25</v>
      </c>
      <c r="F20" s="64" t="s">
        <v>26</v>
      </c>
      <c r="G20" s="64" t="s">
        <v>16</v>
      </c>
      <c r="H20" s="64" t="s">
        <v>17</v>
      </c>
      <c r="I20" s="64" t="s">
        <v>18</v>
      </c>
      <c r="J20" s="64" t="s">
        <v>19</v>
      </c>
      <c r="K20" s="65" t="s">
        <v>20</v>
      </c>
      <c r="O20" s="201"/>
      <c r="P20" s="202"/>
      <c r="Q20" s="202"/>
      <c r="R20" s="202"/>
      <c r="S20" s="202"/>
      <c r="T20" s="202"/>
      <c r="U20" s="203"/>
    </row>
    <row r="21" spans="1:21">
      <c r="A21" s="86" t="s">
        <v>66</v>
      </c>
      <c r="B21" s="29">
        <f>'Balance Sheet'!B28/('P &amp; L Account'!B4/365)</f>
        <v>4.4041082508606584</v>
      </c>
      <c r="C21" s="29">
        <f>'Balance Sheet'!C28/('P &amp; L Account'!C4/365)</f>
        <v>6.6457462606065203</v>
      </c>
      <c r="D21" s="29">
        <f>'Balance Sheet'!D28/('P &amp; L Account'!D4/365)</f>
        <v>12.360277213241266</v>
      </c>
      <c r="E21" s="29">
        <f>'Balance Sheet'!E28/('P &amp; L Account'!E4/365)</f>
        <v>10.507907625002421</v>
      </c>
      <c r="F21" s="29">
        <f>'Balance Sheet'!F28/('P &amp; L Account'!F4/365)</f>
        <v>4.4425332328932585</v>
      </c>
      <c r="G21" s="29">
        <f>'Balance Sheet'!G28/('P &amp; L Account'!G4/365)</f>
        <v>2.5105913246326668</v>
      </c>
      <c r="H21" s="29">
        <f>'Balance Sheet'!H28/('P &amp; L Account'!H4/365)</f>
        <v>2.4572389940576134</v>
      </c>
      <c r="I21" s="29">
        <f>'Balance Sheet'!I28/('P &amp; L Account'!I4/365)</f>
        <v>4.2153197141697518</v>
      </c>
      <c r="J21" s="29">
        <f>'Balance Sheet'!J28/('P &amp; L Account'!J4/365)</f>
        <v>10.212212918906888</v>
      </c>
      <c r="K21" s="94">
        <f>'Balance Sheet'!K28/('P &amp; L Account'!K4/365)</f>
        <v>13.293984246385923</v>
      </c>
    </row>
    <row r="22" spans="1:21">
      <c r="A22" s="86" t="s">
        <v>15</v>
      </c>
      <c r="B22" s="29">
        <f>'Balance Sheet'!B27/('P &amp; L Account'!B4/365)</f>
        <v>10.045596329657153</v>
      </c>
      <c r="C22" s="29">
        <f>'Balance Sheet'!C27/('P &amp; L Account'!C4/365)</f>
        <v>9.4894353670768137</v>
      </c>
      <c r="D22" s="29">
        <f>'Balance Sheet'!D27/('P &amp; L Account'!D4/365)</f>
        <v>10.160313779045572</v>
      </c>
      <c r="E22" s="29">
        <f>'Balance Sheet'!E27/('P &amp; L Account'!E4/365)</f>
        <v>11.202452622001976</v>
      </c>
      <c r="F22" s="29">
        <f>'Balance Sheet'!F27/('P &amp; L Account'!F4/365)</f>
        <v>9.6835610011104674</v>
      </c>
      <c r="G22" s="29">
        <f>'Balance Sheet'!G27/('P &amp; L Account'!G4/365)</f>
        <v>10.108147006824391</v>
      </c>
      <c r="H22" s="29">
        <f>'Balance Sheet'!H27/('P &amp; L Account'!H4/365)</f>
        <v>9.8773142288893698</v>
      </c>
      <c r="I22" s="29">
        <f>'Balance Sheet'!I27/('P &amp; L Account'!I4/365)</f>
        <v>10.457726632520508</v>
      </c>
      <c r="J22" s="29">
        <f>'Balance Sheet'!J27/('P &amp; L Account'!J4/365)</f>
        <v>9.7785393958543612</v>
      </c>
      <c r="K22" s="94">
        <f>'Balance Sheet'!K27/('P &amp; L Account'!K4/365)</f>
        <v>9.6688904301284992</v>
      </c>
    </row>
    <row r="23" spans="1:21" ht="15" customHeight="1" thickBot="1">
      <c r="A23" s="89" t="s">
        <v>67</v>
      </c>
      <c r="B23" s="95">
        <f>'Balance Sheet'!B14/('P &amp; L Account'!B4/365)</f>
        <v>32.555482945167185</v>
      </c>
      <c r="C23" s="95">
        <f>'Balance Sheet'!C14/('P &amp; L Account'!C4/365)</f>
        <v>27.07012754217935</v>
      </c>
      <c r="D23" s="95">
        <f>'Balance Sheet'!D14/('P &amp; L Account'!D4/365)</f>
        <v>20.455567497242416</v>
      </c>
      <c r="E23" s="95">
        <f>'Balance Sheet'!E14/('P &amp; L Account'!E4/365)</f>
        <v>26.710307013298753</v>
      </c>
      <c r="F23" s="95">
        <f>'Balance Sheet'!F14/('P &amp; L Account'!F4/365)</f>
        <v>20.8298928819591</v>
      </c>
      <c r="G23" s="95">
        <f>'Balance Sheet'!G14/('P &amp; L Account'!G4/365)</f>
        <v>25.74381051618905</v>
      </c>
      <c r="H23" s="95">
        <f>'Balance Sheet'!H14/('P &amp; L Account'!H4/365)</f>
        <v>39.012126551647526</v>
      </c>
      <c r="I23" s="95">
        <f>'Balance Sheet'!I14/('P &amp; L Account'!I4/365)</f>
        <v>35.497942451407042</v>
      </c>
      <c r="J23" s="95">
        <f>'Balance Sheet'!J14/('P &amp; L Account'!J4/365)</f>
        <v>28.768341277451171</v>
      </c>
      <c r="K23" s="96">
        <f>'Balance Sheet'!K14/('P &amp; L Account'!K4/365)</f>
        <v>33.078132671716887</v>
      </c>
    </row>
    <row r="24" spans="1:21" ht="15" customHeight="1" thickBot="1">
      <c r="A24" s="1"/>
      <c r="B24" s="1"/>
      <c r="C24" s="1"/>
      <c r="D24" s="1"/>
      <c r="E24" s="1"/>
      <c r="F24" s="1"/>
      <c r="G24" s="1"/>
      <c r="H24" s="1"/>
      <c r="I24" s="1"/>
      <c r="J24" s="1"/>
      <c r="K24" s="1"/>
    </row>
    <row r="25" spans="1:21" ht="15.75" customHeight="1">
      <c r="A25" s="85" t="s">
        <v>141</v>
      </c>
      <c r="B25" s="64" t="s">
        <v>23</v>
      </c>
      <c r="C25" s="64" t="s">
        <v>22</v>
      </c>
      <c r="D25" s="64" t="s">
        <v>24</v>
      </c>
      <c r="E25" s="64" t="s">
        <v>25</v>
      </c>
      <c r="F25" s="64" t="s">
        <v>26</v>
      </c>
      <c r="G25" s="64" t="s">
        <v>16</v>
      </c>
      <c r="H25" s="64" t="s">
        <v>17</v>
      </c>
      <c r="I25" s="64" t="s">
        <v>18</v>
      </c>
      <c r="J25" s="64" t="s">
        <v>19</v>
      </c>
      <c r="K25" s="65" t="s">
        <v>20</v>
      </c>
    </row>
    <row r="26" spans="1:21" ht="15.75" customHeight="1">
      <c r="A26" s="86" t="s">
        <v>68</v>
      </c>
      <c r="B26" s="35"/>
      <c r="C26" s="35">
        <f>'P &amp; L Account'!C4/'P &amp; L Account'!B4-1</f>
        <v>0.17412974203849552</v>
      </c>
      <c r="D26" s="35">
        <f>'P &amp; L Account'!D4/'P &amp; L Account'!C4-1</f>
        <v>0.13610084025898606</v>
      </c>
      <c r="E26" s="35">
        <f>'P &amp; L Account'!E4/'P &amp; L Account'!D4-1</f>
        <v>4.3620378264154658E-2</v>
      </c>
      <c r="F26" s="35">
        <f>'P &amp; L Account'!F4/'P &amp; L Account'!E4-1</f>
        <v>0.19234983255579885</v>
      </c>
      <c r="G26" s="35">
        <f>'P &amp; L Account'!G4/'P &amp; L Account'!F4-1</f>
        <v>0.27916442083525439</v>
      </c>
      <c r="H26" s="35">
        <f>'P &amp; L Account'!H4/'P &amp; L Account'!G4-1</f>
        <v>0.23097527760185499</v>
      </c>
      <c r="I26" s="35">
        <f>'P &amp; L Account'!I4/'P &amp; L Account'!H4-1</f>
        <v>0.21554361728287486</v>
      </c>
      <c r="J26" s="35">
        <f>'P &amp; L Account'!J4/'P &amp; L Account'!I4-1</f>
        <v>8.0189897548796907E-3</v>
      </c>
      <c r="K26" s="88">
        <f>'P &amp; L Account'!K4/'P &amp; L Account'!J4-1</f>
        <v>6.3419430489003892E-2</v>
      </c>
    </row>
    <row r="27" spans="1:21">
      <c r="A27" s="86" t="s">
        <v>69</v>
      </c>
      <c r="B27" s="35"/>
      <c r="C27" s="35">
        <f>'P &amp; L Account'!C16/'P &amp; L Account'!B16-1</f>
        <v>0.1542973819452842</v>
      </c>
      <c r="D27" s="35">
        <f>'P &amp; L Account'!D16/'P &amp; L Account'!C16-1</f>
        <v>-0.15047670444324424</v>
      </c>
      <c r="E27" s="35">
        <f>'P &amp; L Account'!E16/'P &amp; L Account'!D16-1</f>
        <v>0.14713252161637413</v>
      </c>
      <c r="F27" s="35">
        <f>'P &amp; L Account'!F16/'P &amp; L Account'!E16-1</f>
        <v>0.25223049470834713</v>
      </c>
      <c r="G27" s="35">
        <f>'P &amp; L Account'!G16/'P &amp; L Account'!F16-1</f>
        <v>0.60419507401265116</v>
      </c>
      <c r="H27" s="35">
        <f>'P &amp; L Account'!H16/'P &amp; L Account'!G16-1</f>
        <v>-2.0618043563993327E-2</v>
      </c>
      <c r="I27" s="35">
        <f>'P &amp; L Account'!I16/'P &amp; L Account'!H16-1</f>
        <v>0.38209653080213046</v>
      </c>
      <c r="J27" s="35">
        <f>'P &amp; L Account'!J16/'P &amp; L Account'!I16-1</f>
        <v>-9.7385809488249264E-2</v>
      </c>
      <c r="K27" s="88">
        <f>'P &amp; L Account'!K16/'P &amp; L Account'!J16-1</f>
        <v>8.0281288486787172E-2</v>
      </c>
    </row>
    <row r="28" spans="1:21" ht="15.75" customHeight="1">
      <c r="A28" s="86" t="s">
        <v>91</v>
      </c>
      <c r="B28" s="35"/>
      <c r="C28" s="35">
        <f>'P &amp; L Account'!C19/'P &amp; L Account'!B19-1</f>
        <v>0.16074738758837759</v>
      </c>
      <c r="D28" s="35">
        <f>'P &amp; L Account'!D19/'P &amp; L Account'!C19-1</f>
        <v>-0.11832584301421656</v>
      </c>
      <c r="E28" s="35">
        <f>'P &amp; L Account'!E19/'P &amp; L Account'!D19-1</f>
        <v>0.13189763647001196</v>
      </c>
      <c r="F28" s="35">
        <f>'P &amp; L Account'!F19/'P &amp; L Account'!E19-1</f>
        <v>0.26319851587504206</v>
      </c>
      <c r="G28" s="35">
        <f>'P &amp; L Account'!G19/'P &amp; L Account'!F19-1</f>
        <v>0.58847863496992581</v>
      </c>
      <c r="H28" s="35">
        <f>'P &amp; L Account'!H19/'P &amp; L Account'!G19-1</f>
        <v>-0.11788286523891778</v>
      </c>
      <c r="I28" s="35">
        <f>'P &amp; L Account'!I19/'P &amp; L Account'!H19-1</f>
        <v>0.15451021493977479</v>
      </c>
      <c r="J28" s="35">
        <f>'P &amp; L Account'!J19/'P &amp; L Account'!I19-1</f>
        <v>-0.11950755541387481</v>
      </c>
      <c r="K28" s="88">
        <f>'P &amp; L Account'!K19/'P &amp; L Account'!J19-1</f>
        <v>0.13299699737516013</v>
      </c>
    </row>
    <row r="29" spans="1:21" ht="15.75" thickBot="1">
      <c r="A29" s="89" t="s">
        <v>70</v>
      </c>
      <c r="B29" s="90"/>
      <c r="C29" s="90">
        <f>'P &amp; L Account'!C27/'P &amp; L Account'!B27-1</f>
        <v>0.19848976519796935</v>
      </c>
      <c r="D29" s="90">
        <f>'P &amp; L Account'!D27/'P &amp; L Account'!C27-1</f>
        <v>-0.1167974138818525</v>
      </c>
      <c r="E29" s="90">
        <f>'P &amp; L Account'!E27/'P &amp; L Account'!D27-1</f>
        <v>0.12820991036146667</v>
      </c>
      <c r="F29" s="90">
        <f>'P &amp; L Account'!F27/'P &amp; L Account'!E27-1</f>
        <v>0.32429640038021712</v>
      </c>
      <c r="G29" s="90">
        <f>'P &amp; L Account'!G27/'P &amp; L Account'!F27-1</f>
        <v>0.74122300586693113</v>
      </c>
      <c r="H29" s="90">
        <f>'P &amp; L Account'!H27/'P &amp; L Account'!G27-1</f>
        <v>-0.13617972695053071</v>
      </c>
      <c r="I29" s="90">
        <f>'P &amp; L Account'!I27/'P &amp; L Account'!H27-1</f>
        <v>0.23353389698635896</v>
      </c>
      <c r="J29" s="90">
        <f>'P &amp; L Account'!J27/'P &amp; L Account'!I27-1</f>
        <v>-0.10931698435325099</v>
      </c>
      <c r="K29" s="91">
        <f>'P &amp; L Account'!K27/'P &amp; L Account'!J27-1</f>
        <v>-4.286739434229303E-3</v>
      </c>
    </row>
    <row r="30" spans="1:21" ht="15.75" thickBot="1">
      <c r="A30" s="1"/>
      <c r="B30" s="1"/>
      <c r="C30" s="1"/>
      <c r="D30" s="1"/>
      <c r="E30" s="1"/>
      <c r="F30" s="1"/>
      <c r="G30" s="1"/>
      <c r="H30" s="1"/>
      <c r="I30" s="1"/>
      <c r="J30" s="1"/>
      <c r="K30" s="1"/>
    </row>
    <row r="31" spans="1:21" ht="15.75">
      <c r="A31" s="85" t="s">
        <v>52</v>
      </c>
      <c r="B31" s="64" t="s">
        <v>23</v>
      </c>
      <c r="C31" s="64" t="s">
        <v>22</v>
      </c>
      <c r="D31" s="64" t="s">
        <v>24</v>
      </c>
      <c r="E31" s="64" t="s">
        <v>25</v>
      </c>
      <c r="F31" s="64" t="s">
        <v>26</v>
      </c>
      <c r="G31" s="64" t="s">
        <v>16</v>
      </c>
      <c r="H31" s="64" t="s">
        <v>17</v>
      </c>
      <c r="I31" s="64" t="s">
        <v>18</v>
      </c>
      <c r="J31" s="64" t="s">
        <v>19</v>
      </c>
      <c r="K31" s="65" t="s">
        <v>20</v>
      </c>
    </row>
    <row r="32" spans="1:21">
      <c r="A32" s="86" t="s">
        <v>54</v>
      </c>
      <c r="B32" s="28">
        <f>('Balance Sheet'!B13+'Balance Sheet'!B10)/'Balance Sheet'!B7</f>
        <v>0.13510292089086501</v>
      </c>
      <c r="C32" s="28">
        <f>('Balance Sheet'!C13+'Balance Sheet'!C10)/'Balance Sheet'!C7</f>
        <v>9.2458680256602935E-2</v>
      </c>
      <c r="D32" s="28">
        <f>('Balance Sheet'!D13+'Balance Sheet'!D10)/'Balance Sheet'!D7</f>
        <v>6.6868821000299589E-2</v>
      </c>
      <c r="E32" s="28">
        <f>('Balance Sheet'!E13+'Balance Sheet'!E10)/'Balance Sheet'!E7</f>
        <v>4.4202743249035573E-2</v>
      </c>
      <c r="F32" s="28">
        <f>('Balance Sheet'!F13+'Balance Sheet'!F10)/'Balance Sheet'!F7</f>
        <v>2.0651187265671247E-2</v>
      </c>
      <c r="G32" s="28">
        <f>('Balance Sheet'!G13+'Balance Sheet'!G10)/'Balance Sheet'!G7</f>
        <v>1.9056167063970772E-2</v>
      </c>
      <c r="H32" s="28">
        <f>('Balance Sheet'!H13+'Balance Sheet'!H10)/'Balance Sheet'!H7</f>
        <v>0.49763536599392433</v>
      </c>
      <c r="I32" s="28">
        <f>('Balance Sheet'!I13+'Balance Sheet'!I10)/'Balance Sheet'!I7</f>
        <v>0.23576458740789263</v>
      </c>
      <c r="J32" s="28">
        <f>('Balance Sheet'!J13+'Balance Sheet'!J10)/'Balance Sheet'!J7</f>
        <v>6.0356674869762546E-2</v>
      </c>
      <c r="K32" s="87">
        <f>('Balance Sheet'!K13+'Balance Sheet'!K10)/'Balance Sheet'!K7</f>
        <v>4.3661727861539646E-3</v>
      </c>
    </row>
    <row r="33" spans="1:11">
      <c r="A33" s="86" t="s">
        <v>92</v>
      </c>
      <c r="B33" s="28">
        <f>'Balance Sheet'!B10/'Cash Flow'!B6</f>
        <v>0.38243266296415634</v>
      </c>
      <c r="C33" s="28">
        <f>'Balance Sheet'!C10/'Cash Flow'!C6</f>
        <v>0.34586886100457975</v>
      </c>
      <c r="D33" s="28">
        <f>'Balance Sheet'!D10/'Cash Flow'!D6</f>
        <v>1.5579136012073196</v>
      </c>
      <c r="E33" s="28">
        <f>'Balance Sheet'!E10/'Cash Flow'!E6</f>
        <v>0.15773247616088715</v>
      </c>
      <c r="F33" s="28">
        <f>'Balance Sheet'!F10/'Cash Flow'!F6</f>
        <v>7.5185593179749974E-2</v>
      </c>
      <c r="G33" s="28">
        <f>'Balance Sheet'!G10/'Cash Flow'!G6</f>
        <v>2.6678033348551761E-2</v>
      </c>
      <c r="H33" s="28">
        <f>'Balance Sheet'!H10/'Cash Flow'!H6</f>
        <v>0.77831157012550001</v>
      </c>
      <c r="I33" s="28">
        <f>'Balance Sheet'!I10/'Cash Flow'!I6</f>
        <v>0.56353323341115369</v>
      </c>
      <c r="J33" s="28">
        <f>'Balance Sheet'!J10/'Cash Flow'!J6</f>
        <v>0.23554907662205041</v>
      </c>
      <c r="K33" s="87">
        <f>'Balance Sheet'!K10/'Cash Flow'!K6</f>
        <v>1.2064482066110402E-2</v>
      </c>
    </row>
    <row r="34" spans="1:11">
      <c r="A34" s="86" t="s">
        <v>55</v>
      </c>
      <c r="B34" s="28">
        <f>'Balance Sheet'!B25/'Balance Sheet'!B12</f>
        <v>1.6100421867814756</v>
      </c>
      <c r="C34" s="28">
        <f>'Balance Sheet'!C25/'Balance Sheet'!C12</f>
        <v>1.7405618121320705</v>
      </c>
      <c r="D34" s="28">
        <f>'Balance Sheet'!D25/'Balance Sheet'!D12</f>
        <v>1.8411801292625545</v>
      </c>
      <c r="E34" s="28">
        <f>'Balance Sheet'!E25/'Balance Sheet'!E12</f>
        <v>1.8092878985499303</v>
      </c>
      <c r="F34" s="28">
        <f>'Balance Sheet'!F25/'Balance Sheet'!F12</f>
        <v>2.0675217505675128</v>
      </c>
      <c r="G34" s="28">
        <f>'Balance Sheet'!G25/'Balance Sheet'!G12</f>
        <v>1.3372907701892409</v>
      </c>
      <c r="H34" s="28">
        <f>'Balance Sheet'!H25/'Balance Sheet'!H12</f>
        <v>0.95930167815965883</v>
      </c>
      <c r="I34" s="28">
        <f>'Balance Sheet'!I25/'Balance Sheet'!I12</f>
        <v>1.1127552148595858</v>
      </c>
      <c r="J34" s="28">
        <f>'Balance Sheet'!J25/'Balance Sheet'!J12</f>
        <v>1.217453748549397</v>
      </c>
      <c r="K34" s="87">
        <f>'Balance Sheet'!K25/'Balance Sheet'!K12</f>
        <v>1.2049678765213645</v>
      </c>
    </row>
    <row r="35" spans="1:11">
      <c r="A35" s="86" t="s">
        <v>56</v>
      </c>
      <c r="B35" s="28">
        <f>('Balance Sheet'!B25-'Balance Sheet'!B27)/'Balance Sheet'!B12</f>
        <v>1.4739115077275788</v>
      </c>
      <c r="C35" s="28">
        <f>('Balance Sheet'!C25-'Balance Sheet'!C27)/'Balance Sheet'!C12</f>
        <v>1.5955976452521115</v>
      </c>
      <c r="D35" s="28">
        <f>('Balance Sheet'!D25-'Balance Sheet'!D27)/'Balance Sheet'!D12</f>
        <v>1.6548716839287163</v>
      </c>
      <c r="E35" s="28">
        <f>('Balance Sheet'!E25-'Balance Sheet'!E27)/'Balance Sheet'!E12</f>
        <v>1.635509716452755</v>
      </c>
      <c r="F35" s="28">
        <f>('Balance Sheet'!F25-'Balance Sheet'!F27)/'Balance Sheet'!F12</f>
        <v>1.9083114934577807</v>
      </c>
      <c r="G35" s="28">
        <f>('Balance Sheet'!G25-'Balance Sheet'!G27)/'Balance Sheet'!G12</f>
        <v>1.2469651716579633</v>
      </c>
      <c r="H35" s="28">
        <f>('Balance Sheet'!H25-'Balance Sheet'!H27)/'Balance Sheet'!H12</f>
        <v>0.8720563231400551</v>
      </c>
      <c r="I35" s="28">
        <f>('Balance Sheet'!I25-'Balance Sheet'!I27)/'Balance Sheet'!I12</f>
        <v>0.95714555539175961</v>
      </c>
      <c r="J35" s="28">
        <f>('Balance Sheet'!J25-'Balance Sheet'!J27)/'Balance Sheet'!J12</f>
        <v>1.0647784054398801</v>
      </c>
      <c r="K35" s="87">
        <f>('Balance Sheet'!K25-'Balance Sheet'!K27)/'Balance Sheet'!K12</f>
        <v>1.0838286192965219</v>
      </c>
    </row>
    <row r="36" spans="1:11" ht="15.75" thickBot="1">
      <c r="A36" s="89" t="s">
        <v>57</v>
      </c>
      <c r="B36" s="92">
        <f>'P &amp; L Account'!B19/'P &amp; L Account'!B20</f>
        <v>631.69948186528495</v>
      </c>
      <c r="C36" s="92">
        <f>'P &amp; L Account'!C19/'P &amp; L Account'!C20</f>
        <v>484.64383561643768</v>
      </c>
      <c r="D36" s="92">
        <f>'P &amp; L Account'!D19/'P &amp; L Account'!D20</f>
        <v>774.97515527950281</v>
      </c>
      <c r="E36" s="92">
        <f>'P &amp; L Account'!E19/'P &amp; L Account'!E20</f>
        <v>706.13999999999908</v>
      </c>
      <c r="F36" s="92">
        <f>'P &amp; L Account'!F19/'P &amp; L Account'!F20</f>
        <v>705.13438735177954</v>
      </c>
      <c r="G36" s="92">
        <f>'P &amp; L Account'!G19/'P &amp; L Account'!G20</f>
        <v>1349.4428571428577</v>
      </c>
      <c r="H36" s="92">
        <f>'P &amp; L Account'!H19/'P &amp; L Account'!H20</f>
        <v>164.78378378378369</v>
      </c>
      <c r="I36" s="92">
        <f>'P &amp; L Account'!I19/'P &amp; L Account'!I20</f>
        <v>135.4934272300469</v>
      </c>
      <c r="J36" s="92">
        <f>'P &amp; L Account'!J19/'P &amp; L Account'!J20</f>
        <v>213.35936188077267</v>
      </c>
      <c r="K36" s="93">
        <f>'P &amp; L Account'!K19/'P &amp; L Account'!K20</f>
        <v>243.57614213197931</v>
      </c>
    </row>
  </sheetData>
  <mergeCells count="5">
    <mergeCell ref="O3:U8"/>
    <mergeCell ref="O10:U14"/>
    <mergeCell ref="O16:U20"/>
    <mergeCell ref="A1:K1"/>
    <mergeCell ref="A2:K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A1:K38"/>
  <sheetViews>
    <sheetView workbookViewId="0">
      <selection sqref="A1:C2"/>
    </sheetView>
  </sheetViews>
  <sheetFormatPr defaultRowHeight="15"/>
  <cols>
    <col min="1" max="1" width="30.140625" style="3" bestFit="1" customWidth="1"/>
    <col min="2" max="2" width="9.7109375" style="3" bestFit="1" customWidth="1"/>
    <col min="3" max="3" width="15.7109375" style="3" customWidth="1"/>
    <col min="4" max="4" width="16.5703125" style="3" bestFit="1" customWidth="1"/>
    <col min="5" max="5" width="5.85546875" style="3" bestFit="1" customWidth="1"/>
    <col min="6" max="6" width="9.140625" style="3"/>
    <col min="7" max="7" width="14.5703125" style="3" customWidth="1"/>
    <col min="8" max="243" width="9.140625" style="3"/>
    <col min="244" max="244" width="28.5703125" style="3" bestFit="1" customWidth="1"/>
    <col min="245" max="245" width="13.42578125" style="3" bestFit="1" customWidth="1"/>
    <col min="246" max="246" width="9.140625" style="3"/>
    <col min="247" max="247" width="15.140625" style="3" bestFit="1" customWidth="1"/>
    <col min="248" max="248" width="9.140625" style="3"/>
    <col min="249" max="249" width="10.85546875" style="3" bestFit="1" customWidth="1"/>
    <col min="250" max="250" width="12.7109375" style="3" bestFit="1" customWidth="1"/>
    <col min="251" max="499" width="9.140625" style="3"/>
    <col min="500" max="500" width="28.5703125" style="3" bestFit="1" customWidth="1"/>
    <col min="501" max="501" width="13.42578125" style="3" bestFit="1" customWidth="1"/>
    <col min="502" max="502" width="9.140625" style="3"/>
    <col min="503" max="503" width="15.140625" style="3" bestFit="1" customWidth="1"/>
    <col min="504" max="504" width="9.140625" style="3"/>
    <col min="505" max="505" width="10.85546875" style="3" bestFit="1" customWidth="1"/>
    <col min="506" max="506" width="12.7109375" style="3" bestFit="1" customWidth="1"/>
    <col min="507" max="755" width="9.140625" style="3"/>
    <col min="756" max="756" width="28.5703125" style="3" bestFit="1" customWidth="1"/>
    <col min="757" max="757" width="13.42578125" style="3" bestFit="1" customWidth="1"/>
    <col min="758" max="758" width="9.140625" style="3"/>
    <col min="759" max="759" width="15.140625" style="3" bestFit="1" customWidth="1"/>
    <col min="760" max="760" width="9.140625" style="3"/>
    <col min="761" max="761" width="10.85546875" style="3" bestFit="1" customWidth="1"/>
    <col min="762" max="762" width="12.7109375" style="3" bestFit="1" customWidth="1"/>
    <col min="763" max="1011" width="9.140625" style="3"/>
    <col min="1012" max="1012" width="28.5703125" style="3" bestFit="1" customWidth="1"/>
    <col min="1013" max="1013" width="13.42578125" style="3" bestFit="1" customWidth="1"/>
    <col min="1014" max="1014" width="9.140625" style="3"/>
    <col min="1015" max="1015" width="15.140625" style="3" bestFit="1" customWidth="1"/>
    <col min="1016" max="1016" width="9.140625" style="3"/>
    <col min="1017" max="1017" width="10.85546875" style="3" bestFit="1" customWidth="1"/>
    <col min="1018" max="1018" width="12.7109375" style="3" bestFit="1" customWidth="1"/>
    <col min="1019" max="1267" width="9.140625" style="3"/>
    <col min="1268" max="1268" width="28.5703125" style="3" bestFit="1" customWidth="1"/>
    <col min="1269" max="1269" width="13.42578125" style="3" bestFit="1" customWidth="1"/>
    <col min="1270" max="1270" width="9.140625" style="3"/>
    <col min="1271" max="1271" width="15.140625" style="3" bestFit="1" customWidth="1"/>
    <col min="1272" max="1272" width="9.140625" style="3"/>
    <col min="1273" max="1273" width="10.85546875" style="3" bestFit="1" customWidth="1"/>
    <col min="1274" max="1274" width="12.7109375" style="3" bestFit="1" customWidth="1"/>
    <col min="1275" max="1523" width="9.140625" style="3"/>
    <col min="1524" max="1524" width="28.5703125" style="3" bestFit="1" customWidth="1"/>
    <col min="1525" max="1525" width="13.42578125" style="3" bestFit="1" customWidth="1"/>
    <col min="1526" max="1526" width="9.140625" style="3"/>
    <col min="1527" max="1527" width="15.140625" style="3" bestFit="1" customWidth="1"/>
    <col min="1528" max="1528" width="9.140625" style="3"/>
    <col min="1529" max="1529" width="10.85546875" style="3" bestFit="1" customWidth="1"/>
    <col min="1530" max="1530" width="12.7109375" style="3" bestFit="1" customWidth="1"/>
    <col min="1531" max="1779" width="9.140625" style="3"/>
    <col min="1780" max="1780" width="28.5703125" style="3" bestFit="1" customWidth="1"/>
    <col min="1781" max="1781" width="13.42578125" style="3" bestFit="1" customWidth="1"/>
    <col min="1782" max="1782" width="9.140625" style="3"/>
    <col min="1783" max="1783" width="15.140625" style="3" bestFit="1" customWidth="1"/>
    <col min="1784" max="1784" width="9.140625" style="3"/>
    <col min="1785" max="1785" width="10.85546875" style="3" bestFit="1" customWidth="1"/>
    <col min="1786" max="1786" width="12.7109375" style="3" bestFit="1" customWidth="1"/>
    <col min="1787" max="2035" width="9.140625" style="3"/>
    <col min="2036" max="2036" width="28.5703125" style="3" bestFit="1" customWidth="1"/>
    <col min="2037" max="2037" width="13.42578125" style="3" bestFit="1" customWidth="1"/>
    <col min="2038" max="2038" width="9.140625" style="3"/>
    <col min="2039" max="2039" width="15.140625" style="3" bestFit="1" customWidth="1"/>
    <col min="2040" max="2040" width="9.140625" style="3"/>
    <col min="2041" max="2041" width="10.85546875" style="3" bestFit="1" customWidth="1"/>
    <col min="2042" max="2042" width="12.7109375" style="3" bestFit="1" customWidth="1"/>
    <col min="2043" max="2291" width="9.140625" style="3"/>
    <col min="2292" max="2292" width="28.5703125" style="3" bestFit="1" customWidth="1"/>
    <col min="2293" max="2293" width="13.42578125" style="3" bestFit="1" customWidth="1"/>
    <col min="2294" max="2294" width="9.140625" style="3"/>
    <col min="2295" max="2295" width="15.140625" style="3" bestFit="1" customWidth="1"/>
    <col min="2296" max="2296" width="9.140625" style="3"/>
    <col min="2297" max="2297" width="10.85546875" style="3" bestFit="1" customWidth="1"/>
    <col min="2298" max="2298" width="12.7109375" style="3" bestFit="1" customWidth="1"/>
    <col min="2299" max="2547" width="9.140625" style="3"/>
    <col min="2548" max="2548" width="28.5703125" style="3" bestFit="1" customWidth="1"/>
    <col min="2549" max="2549" width="13.42578125" style="3" bestFit="1" customWidth="1"/>
    <col min="2550" max="2550" width="9.140625" style="3"/>
    <col min="2551" max="2551" width="15.140625" style="3" bestFit="1" customWidth="1"/>
    <col min="2552" max="2552" width="9.140625" style="3"/>
    <col min="2553" max="2553" width="10.85546875" style="3" bestFit="1" customWidth="1"/>
    <col min="2554" max="2554" width="12.7109375" style="3" bestFit="1" customWidth="1"/>
    <col min="2555" max="2803" width="9.140625" style="3"/>
    <col min="2804" max="2804" width="28.5703125" style="3" bestFit="1" customWidth="1"/>
    <col min="2805" max="2805" width="13.42578125" style="3" bestFit="1" customWidth="1"/>
    <col min="2806" max="2806" width="9.140625" style="3"/>
    <col min="2807" max="2807" width="15.140625" style="3" bestFit="1" customWidth="1"/>
    <col min="2808" max="2808" width="9.140625" style="3"/>
    <col min="2809" max="2809" width="10.85546875" style="3" bestFit="1" customWidth="1"/>
    <col min="2810" max="2810" width="12.7109375" style="3" bestFit="1" customWidth="1"/>
    <col min="2811" max="3059" width="9.140625" style="3"/>
    <col min="3060" max="3060" width="28.5703125" style="3" bestFit="1" customWidth="1"/>
    <col min="3061" max="3061" width="13.42578125" style="3" bestFit="1" customWidth="1"/>
    <col min="3062" max="3062" width="9.140625" style="3"/>
    <col min="3063" max="3063" width="15.140625" style="3" bestFit="1" customWidth="1"/>
    <col min="3064" max="3064" width="9.140625" style="3"/>
    <col min="3065" max="3065" width="10.85546875" style="3" bestFit="1" customWidth="1"/>
    <col min="3066" max="3066" width="12.7109375" style="3" bestFit="1" customWidth="1"/>
    <col min="3067" max="3315" width="9.140625" style="3"/>
    <col min="3316" max="3316" width="28.5703125" style="3" bestFit="1" customWidth="1"/>
    <col min="3317" max="3317" width="13.42578125" style="3" bestFit="1" customWidth="1"/>
    <col min="3318" max="3318" width="9.140625" style="3"/>
    <col min="3319" max="3319" width="15.140625" style="3" bestFit="1" customWidth="1"/>
    <col min="3320" max="3320" width="9.140625" style="3"/>
    <col min="3321" max="3321" width="10.85546875" style="3" bestFit="1" customWidth="1"/>
    <col min="3322" max="3322" width="12.7109375" style="3" bestFit="1" customWidth="1"/>
    <col min="3323" max="3571" width="9.140625" style="3"/>
    <col min="3572" max="3572" width="28.5703125" style="3" bestFit="1" customWidth="1"/>
    <col min="3573" max="3573" width="13.42578125" style="3" bestFit="1" customWidth="1"/>
    <col min="3574" max="3574" width="9.140625" style="3"/>
    <col min="3575" max="3575" width="15.140625" style="3" bestFit="1" customWidth="1"/>
    <col min="3576" max="3576" width="9.140625" style="3"/>
    <col min="3577" max="3577" width="10.85546875" style="3" bestFit="1" customWidth="1"/>
    <col min="3578" max="3578" width="12.7109375" style="3" bestFit="1" customWidth="1"/>
    <col min="3579" max="3827" width="9.140625" style="3"/>
    <col min="3828" max="3828" width="28.5703125" style="3" bestFit="1" customWidth="1"/>
    <col min="3829" max="3829" width="13.42578125" style="3" bestFit="1" customWidth="1"/>
    <col min="3830" max="3830" width="9.140625" style="3"/>
    <col min="3831" max="3831" width="15.140625" style="3" bestFit="1" customWidth="1"/>
    <col min="3832" max="3832" width="9.140625" style="3"/>
    <col min="3833" max="3833" width="10.85546875" style="3" bestFit="1" customWidth="1"/>
    <col min="3834" max="3834" width="12.7109375" style="3" bestFit="1" customWidth="1"/>
    <col min="3835" max="4083" width="9.140625" style="3"/>
    <col min="4084" max="4084" width="28.5703125" style="3" bestFit="1" customWidth="1"/>
    <col min="4085" max="4085" width="13.42578125" style="3" bestFit="1" customWidth="1"/>
    <col min="4086" max="4086" width="9.140625" style="3"/>
    <col min="4087" max="4087" width="15.140625" style="3" bestFit="1" customWidth="1"/>
    <col min="4088" max="4088" width="9.140625" style="3"/>
    <col min="4089" max="4089" width="10.85546875" style="3" bestFit="1" customWidth="1"/>
    <col min="4090" max="4090" width="12.7109375" style="3" bestFit="1" customWidth="1"/>
    <col min="4091" max="4339" width="9.140625" style="3"/>
    <col min="4340" max="4340" width="28.5703125" style="3" bestFit="1" customWidth="1"/>
    <col min="4341" max="4341" width="13.42578125" style="3" bestFit="1" customWidth="1"/>
    <col min="4342" max="4342" width="9.140625" style="3"/>
    <col min="4343" max="4343" width="15.140625" style="3" bestFit="1" customWidth="1"/>
    <col min="4344" max="4344" width="9.140625" style="3"/>
    <col min="4345" max="4345" width="10.85546875" style="3" bestFit="1" customWidth="1"/>
    <col min="4346" max="4346" width="12.7109375" style="3" bestFit="1" customWidth="1"/>
    <col min="4347" max="4595" width="9.140625" style="3"/>
    <col min="4596" max="4596" width="28.5703125" style="3" bestFit="1" customWidth="1"/>
    <col min="4597" max="4597" width="13.42578125" style="3" bestFit="1" customWidth="1"/>
    <col min="4598" max="4598" width="9.140625" style="3"/>
    <col min="4599" max="4599" width="15.140625" style="3" bestFit="1" customWidth="1"/>
    <col min="4600" max="4600" width="9.140625" style="3"/>
    <col min="4601" max="4601" width="10.85546875" style="3" bestFit="1" customWidth="1"/>
    <col min="4602" max="4602" width="12.7109375" style="3" bestFit="1" customWidth="1"/>
    <col min="4603" max="4851" width="9.140625" style="3"/>
    <col min="4852" max="4852" width="28.5703125" style="3" bestFit="1" customWidth="1"/>
    <col min="4853" max="4853" width="13.42578125" style="3" bestFit="1" customWidth="1"/>
    <col min="4854" max="4854" width="9.140625" style="3"/>
    <col min="4855" max="4855" width="15.140625" style="3" bestFit="1" customWidth="1"/>
    <col min="4856" max="4856" width="9.140625" style="3"/>
    <col min="4857" max="4857" width="10.85546875" style="3" bestFit="1" customWidth="1"/>
    <col min="4858" max="4858" width="12.7109375" style="3" bestFit="1" customWidth="1"/>
    <col min="4859" max="5107" width="9.140625" style="3"/>
    <col min="5108" max="5108" width="28.5703125" style="3" bestFit="1" customWidth="1"/>
    <col min="5109" max="5109" width="13.42578125" style="3" bestFit="1" customWidth="1"/>
    <col min="5110" max="5110" width="9.140625" style="3"/>
    <col min="5111" max="5111" width="15.140625" style="3" bestFit="1" customWidth="1"/>
    <col min="5112" max="5112" width="9.140625" style="3"/>
    <col min="5113" max="5113" width="10.85546875" style="3" bestFit="1" customWidth="1"/>
    <col min="5114" max="5114" width="12.7109375" style="3" bestFit="1" customWidth="1"/>
    <col min="5115" max="5363" width="9.140625" style="3"/>
    <col min="5364" max="5364" width="28.5703125" style="3" bestFit="1" customWidth="1"/>
    <col min="5365" max="5365" width="13.42578125" style="3" bestFit="1" customWidth="1"/>
    <col min="5366" max="5366" width="9.140625" style="3"/>
    <col min="5367" max="5367" width="15.140625" style="3" bestFit="1" customWidth="1"/>
    <col min="5368" max="5368" width="9.140625" style="3"/>
    <col min="5369" max="5369" width="10.85546875" style="3" bestFit="1" customWidth="1"/>
    <col min="5370" max="5370" width="12.7109375" style="3" bestFit="1" customWidth="1"/>
    <col min="5371" max="5619" width="9.140625" style="3"/>
    <col min="5620" max="5620" width="28.5703125" style="3" bestFit="1" customWidth="1"/>
    <col min="5621" max="5621" width="13.42578125" style="3" bestFit="1" customWidth="1"/>
    <col min="5622" max="5622" width="9.140625" style="3"/>
    <col min="5623" max="5623" width="15.140625" style="3" bestFit="1" customWidth="1"/>
    <col min="5624" max="5624" width="9.140625" style="3"/>
    <col min="5625" max="5625" width="10.85546875" style="3" bestFit="1" customWidth="1"/>
    <col min="5626" max="5626" width="12.7109375" style="3" bestFit="1" customWidth="1"/>
    <col min="5627" max="5875" width="9.140625" style="3"/>
    <col min="5876" max="5876" width="28.5703125" style="3" bestFit="1" customWidth="1"/>
    <col min="5877" max="5877" width="13.42578125" style="3" bestFit="1" customWidth="1"/>
    <col min="5878" max="5878" width="9.140625" style="3"/>
    <col min="5879" max="5879" width="15.140625" style="3" bestFit="1" customWidth="1"/>
    <col min="5880" max="5880" width="9.140625" style="3"/>
    <col min="5881" max="5881" width="10.85546875" style="3" bestFit="1" customWidth="1"/>
    <col min="5882" max="5882" width="12.7109375" style="3" bestFit="1" customWidth="1"/>
    <col min="5883" max="6131" width="9.140625" style="3"/>
    <col min="6132" max="6132" width="28.5703125" style="3" bestFit="1" customWidth="1"/>
    <col min="6133" max="6133" width="13.42578125" style="3" bestFit="1" customWidth="1"/>
    <col min="6134" max="6134" width="9.140625" style="3"/>
    <col min="6135" max="6135" width="15.140625" style="3" bestFit="1" customWidth="1"/>
    <col min="6136" max="6136" width="9.140625" style="3"/>
    <col min="6137" max="6137" width="10.85546875" style="3" bestFit="1" customWidth="1"/>
    <col min="6138" max="6138" width="12.7109375" style="3" bestFit="1" customWidth="1"/>
    <col min="6139" max="6387" width="9.140625" style="3"/>
    <col min="6388" max="6388" width="28.5703125" style="3" bestFit="1" customWidth="1"/>
    <col min="6389" max="6389" width="13.42578125" style="3" bestFit="1" customWidth="1"/>
    <col min="6390" max="6390" width="9.140625" style="3"/>
    <col min="6391" max="6391" width="15.140625" style="3" bestFit="1" customWidth="1"/>
    <col min="6392" max="6392" width="9.140625" style="3"/>
    <col min="6393" max="6393" width="10.85546875" style="3" bestFit="1" customWidth="1"/>
    <col min="6394" max="6394" width="12.7109375" style="3" bestFit="1" customWidth="1"/>
    <col min="6395" max="6643" width="9.140625" style="3"/>
    <col min="6644" max="6644" width="28.5703125" style="3" bestFit="1" customWidth="1"/>
    <col min="6645" max="6645" width="13.42578125" style="3" bestFit="1" customWidth="1"/>
    <col min="6646" max="6646" width="9.140625" style="3"/>
    <col min="6647" max="6647" width="15.140625" style="3" bestFit="1" customWidth="1"/>
    <col min="6648" max="6648" width="9.140625" style="3"/>
    <col min="6649" max="6649" width="10.85546875" style="3" bestFit="1" customWidth="1"/>
    <col min="6650" max="6650" width="12.7109375" style="3" bestFit="1" customWidth="1"/>
    <col min="6651" max="6899" width="9.140625" style="3"/>
    <col min="6900" max="6900" width="28.5703125" style="3" bestFit="1" customWidth="1"/>
    <col min="6901" max="6901" width="13.42578125" style="3" bestFit="1" customWidth="1"/>
    <col min="6902" max="6902" width="9.140625" style="3"/>
    <col min="6903" max="6903" width="15.140625" style="3" bestFit="1" customWidth="1"/>
    <col min="6904" max="6904" width="9.140625" style="3"/>
    <col min="6905" max="6905" width="10.85546875" style="3" bestFit="1" customWidth="1"/>
    <col min="6906" max="6906" width="12.7109375" style="3" bestFit="1" customWidth="1"/>
    <col min="6907" max="7155" width="9.140625" style="3"/>
    <col min="7156" max="7156" width="28.5703125" style="3" bestFit="1" customWidth="1"/>
    <col min="7157" max="7157" width="13.42578125" style="3" bestFit="1" customWidth="1"/>
    <col min="7158" max="7158" width="9.140625" style="3"/>
    <col min="7159" max="7159" width="15.140625" style="3" bestFit="1" customWidth="1"/>
    <col min="7160" max="7160" width="9.140625" style="3"/>
    <col min="7161" max="7161" width="10.85546875" style="3" bestFit="1" customWidth="1"/>
    <col min="7162" max="7162" width="12.7109375" style="3" bestFit="1" customWidth="1"/>
    <col min="7163" max="7411" width="9.140625" style="3"/>
    <col min="7412" max="7412" width="28.5703125" style="3" bestFit="1" customWidth="1"/>
    <col min="7413" max="7413" width="13.42578125" style="3" bestFit="1" customWidth="1"/>
    <col min="7414" max="7414" width="9.140625" style="3"/>
    <col min="7415" max="7415" width="15.140625" style="3" bestFit="1" customWidth="1"/>
    <col min="7416" max="7416" width="9.140625" style="3"/>
    <col min="7417" max="7417" width="10.85546875" style="3" bestFit="1" customWidth="1"/>
    <col min="7418" max="7418" width="12.7109375" style="3" bestFit="1" customWidth="1"/>
    <col min="7419" max="7667" width="9.140625" style="3"/>
    <col min="7668" max="7668" width="28.5703125" style="3" bestFit="1" customWidth="1"/>
    <col min="7669" max="7669" width="13.42578125" style="3" bestFit="1" customWidth="1"/>
    <col min="7670" max="7670" width="9.140625" style="3"/>
    <col min="7671" max="7671" width="15.140625" style="3" bestFit="1" customWidth="1"/>
    <col min="7672" max="7672" width="9.140625" style="3"/>
    <col min="7673" max="7673" width="10.85546875" style="3" bestFit="1" customWidth="1"/>
    <col min="7674" max="7674" width="12.7109375" style="3" bestFit="1" customWidth="1"/>
    <col min="7675" max="7923" width="9.140625" style="3"/>
    <col min="7924" max="7924" width="28.5703125" style="3" bestFit="1" customWidth="1"/>
    <col min="7925" max="7925" width="13.42578125" style="3" bestFit="1" customWidth="1"/>
    <col min="7926" max="7926" width="9.140625" style="3"/>
    <col min="7927" max="7927" width="15.140625" style="3" bestFit="1" customWidth="1"/>
    <col min="7928" max="7928" width="9.140625" style="3"/>
    <col min="7929" max="7929" width="10.85546875" style="3" bestFit="1" customWidth="1"/>
    <col min="7930" max="7930" width="12.7109375" style="3" bestFit="1" customWidth="1"/>
    <col min="7931" max="8179" width="9.140625" style="3"/>
    <col min="8180" max="8180" width="28.5703125" style="3" bestFit="1" customWidth="1"/>
    <col min="8181" max="8181" width="13.42578125" style="3" bestFit="1" customWidth="1"/>
    <col min="8182" max="8182" width="9.140625" style="3"/>
    <col min="8183" max="8183" width="15.140625" style="3" bestFit="1" customWidth="1"/>
    <col min="8184" max="8184" width="9.140625" style="3"/>
    <col min="8185" max="8185" width="10.85546875" style="3" bestFit="1" customWidth="1"/>
    <col min="8186" max="8186" width="12.7109375" style="3" bestFit="1" customWidth="1"/>
    <col min="8187" max="8435" width="9.140625" style="3"/>
    <col min="8436" max="8436" width="28.5703125" style="3" bestFit="1" customWidth="1"/>
    <col min="8437" max="8437" width="13.42578125" style="3" bestFit="1" customWidth="1"/>
    <col min="8438" max="8438" width="9.140625" style="3"/>
    <col min="8439" max="8439" width="15.140625" style="3" bestFit="1" customWidth="1"/>
    <col min="8440" max="8440" width="9.140625" style="3"/>
    <col min="8441" max="8441" width="10.85546875" style="3" bestFit="1" customWidth="1"/>
    <col min="8442" max="8442" width="12.7109375" style="3" bestFit="1" customWidth="1"/>
    <col min="8443" max="8691" width="9.140625" style="3"/>
    <col min="8692" max="8692" width="28.5703125" style="3" bestFit="1" customWidth="1"/>
    <col min="8693" max="8693" width="13.42578125" style="3" bestFit="1" customWidth="1"/>
    <col min="8694" max="8694" width="9.140625" style="3"/>
    <col min="8695" max="8695" width="15.140625" style="3" bestFit="1" customWidth="1"/>
    <col min="8696" max="8696" width="9.140625" style="3"/>
    <col min="8697" max="8697" width="10.85546875" style="3" bestFit="1" customWidth="1"/>
    <col min="8698" max="8698" width="12.7109375" style="3" bestFit="1" customWidth="1"/>
    <col min="8699" max="8947" width="9.140625" style="3"/>
    <col min="8948" max="8948" width="28.5703125" style="3" bestFit="1" customWidth="1"/>
    <col min="8949" max="8949" width="13.42578125" style="3" bestFit="1" customWidth="1"/>
    <col min="8950" max="8950" width="9.140625" style="3"/>
    <col min="8951" max="8951" width="15.140625" style="3" bestFit="1" customWidth="1"/>
    <col min="8952" max="8952" width="9.140625" style="3"/>
    <col min="8953" max="8953" width="10.85546875" style="3" bestFit="1" customWidth="1"/>
    <col min="8954" max="8954" width="12.7109375" style="3" bestFit="1" customWidth="1"/>
    <col min="8955" max="9203" width="9.140625" style="3"/>
    <col min="9204" max="9204" width="28.5703125" style="3" bestFit="1" customWidth="1"/>
    <col min="9205" max="9205" width="13.42578125" style="3" bestFit="1" customWidth="1"/>
    <col min="9206" max="9206" width="9.140625" style="3"/>
    <col min="9207" max="9207" width="15.140625" style="3" bestFit="1" customWidth="1"/>
    <col min="9208" max="9208" width="9.140625" style="3"/>
    <col min="9209" max="9209" width="10.85546875" style="3" bestFit="1" customWidth="1"/>
    <col min="9210" max="9210" width="12.7109375" style="3" bestFit="1" customWidth="1"/>
    <col min="9211" max="9459" width="9.140625" style="3"/>
    <col min="9460" max="9460" width="28.5703125" style="3" bestFit="1" customWidth="1"/>
    <col min="9461" max="9461" width="13.42578125" style="3" bestFit="1" customWidth="1"/>
    <col min="9462" max="9462" width="9.140625" style="3"/>
    <col min="9463" max="9463" width="15.140625" style="3" bestFit="1" customWidth="1"/>
    <col min="9464" max="9464" width="9.140625" style="3"/>
    <col min="9465" max="9465" width="10.85546875" style="3" bestFit="1" customWidth="1"/>
    <col min="9466" max="9466" width="12.7109375" style="3" bestFit="1" customWidth="1"/>
    <col min="9467" max="9715" width="9.140625" style="3"/>
    <col min="9716" max="9716" width="28.5703125" style="3" bestFit="1" customWidth="1"/>
    <col min="9717" max="9717" width="13.42578125" style="3" bestFit="1" customWidth="1"/>
    <col min="9718" max="9718" width="9.140625" style="3"/>
    <col min="9719" max="9719" width="15.140625" style="3" bestFit="1" customWidth="1"/>
    <col min="9720" max="9720" width="9.140625" style="3"/>
    <col min="9721" max="9721" width="10.85546875" style="3" bestFit="1" customWidth="1"/>
    <col min="9722" max="9722" width="12.7109375" style="3" bestFit="1" customWidth="1"/>
    <col min="9723" max="9971" width="9.140625" style="3"/>
    <col min="9972" max="9972" width="28.5703125" style="3" bestFit="1" customWidth="1"/>
    <col min="9973" max="9973" width="13.42578125" style="3" bestFit="1" customWidth="1"/>
    <col min="9974" max="9974" width="9.140625" style="3"/>
    <col min="9975" max="9975" width="15.140625" style="3" bestFit="1" customWidth="1"/>
    <col min="9976" max="9976" width="9.140625" style="3"/>
    <col min="9977" max="9977" width="10.85546875" style="3" bestFit="1" customWidth="1"/>
    <col min="9978" max="9978" width="12.7109375" style="3" bestFit="1" customWidth="1"/>
    <col min="9979" max="10227" width="9.140625" style="3"/>
    <col min="10228" max="10228" width="28.5703125" style="3" bestFit="1" customWidth="1"/>
    <col min="10229" max="10229" width="13.42578125" style="3" bestFit="1" customWidth="1"/>
    <col min="10230" max="10230" width="9.140625" style="3"/>
    <col min="10231" max="10231" width="15.140625" style="3" bestFit="1" customWidth="1"/>
    <col min="10232" max="10232" width="9.140625" style="3"/>
    <col min="10233" max="10233" width="10.85546875" style="3" bestFit="1" customWidth="1"/>
    <col min="10234" max="10234" width="12.7109375" style="3" bestFit="1" customWidth="1"/>
    <col min="10235" max="10483" width="9.140625" style="3"/>
    <col min="10484" max="10484" width="28.5703125" style="3" bestFit="1" customWidth="1"/>
    <col min="10485" max="10485" width="13.42578125" style="3" bestFit="1" customWidth="1"/>
    <col min="10486" max="10486" width="9.140625" style="3"/>
    <col min="10487" max="10487" width="15.140625" style="3" bestFit="1" customWidth="1"/>
    <col min="10488" max="10488" width="9.140625" style="3"/>
    <col min="10489" max="10489" width="10.85546875" style="3" bestFit="1" customWidth="1"/>
    <col min="10490" max="10490" width="12.7109375" style="3" bestFit="1" customWidth="1"/>
    <col min="10491" max="10739" width="9.140625" style="3"/>
    <col min="10740" max="10740" width="28.5703125" style="3" bestFit="1" customWidth="1"/>
    <col min="10741" max="10741" width="13.42578125" style="3" bestFit="1" customWidth="1"/>
    <col min="10742" max="10742" width="9.140625" style="3"/>
    <col min="10743" max="10743" width="15.140625" style="3" bestFit="1" customWidth="1"/>
    <col min="10744" max="10744" width="9.140625" style="3"/>
    <col min="10745" max="10745" width="10.85546875" style="3" bestFit="1" customWidth="1"/>
    <col min="10746" max="10746" width="12.7109375" style="3" bestFit="1" customWidth="1"/>
    <col min="10747" max="10995" width="9.140625" style="3"/>
    <col min="10996" max="10996" width="28.5703125" style="3" bestFit="1" customWidth="1"/>
    <col min="10997" max="10997" width="13.42578125" style="3" bestFit="1" customWidth="1"/>
    <col min="10998" max="10998" width="9.140625" style="3"/>
    <col min="10999" max="10999" width="15.140625" style="3" bestFit="1" customWidth="1"/>
    <col min="11000" max="11000" width="9.140625" style="3"/>
    <col min="11001" max="11001" width="10.85546875" style="3" bestFit="1" customWidth="1"/>
    <col min="11002" max="11002" width="12.7109375" style="3" bestFit="1" customWidth="1"/>
    <col min="11003" max="11251" width="9.140625" style="3"/>
    <col min="11252" max="11252" width="28.5703125" style="3" bestFit="1" customWidth="1"/>
    <col min="11253" max="11253" width="13.42578125" style="3" bestFit="1" customWidth="1"/>
    <col min="11254" max="11254" width="9.140625" style="3"/>
    <col min="11255" max="11255" width="15.140625" style="3" bestFit="1" customWidth="1"/>
    <col min="11256" max="11256" width="9.140625" style="3"/>
    <col min="11257" max="11257" width="10.85546875" style="3" bestFit="1" customWidth="1"/>
    <col min="11258" max="11258" width="12.7109375" style="3" bestFit="1" customWidth="1"/>
    <col min="11259" max="11507" width="9.140625" style="3"/>
    <col min="11508" max="11508" width="28.5703125" style="3" bestFit="1" customWidth="1"/>
    <col min="11509" max="11509" width="13.42578125" style="3" bestFit="1" customWidth="1"/>
    <col min="11510" max="11510" width="9.140625" style="3"/>
    <col min="11511" max="11511" width="15.140625" style="3" bestFit="1" customWidth="1"/>
    <col min="11512" max="11512" width="9.140625" style="3"/>
    <col min="11513" max="11513" width="10.85546875" style="3" bestFit="1" customWidth="1"/>
    <col min="11514" max="11514" width="12.7109375" style="3" bestFit="1" customWidth="1"/>
    <col min="11515" max="11763" width="9.140625" style="3"/>
    <col min="11764" max="11764" width="28.5703125" style="3" bestFit="1" customWidth="1"/>
    <col min="11765" max="11765" width="13.42578125" style="3" bestFit="1" customWidth="1"/>
    <col min="11766" max="11766" width="9.140625" style="3"/>
    <col min="11767" max="11767" width="15.140625" style="3" bestFit="1" customWidth="1"/>
    <col min="11768" max="11768" width="9.140625" style="3"/>
    <col min="11769" max="11769" width="10.85546875" style="3" bestFit="1" customWidth="1"/>
    <col min="11770" max="11770" width="12.7109375" style="3" bestFit="1" customWidth="1"/>
    <col min="11771" max="12019" width="9.140625" style="3"/>
    <col min="12020" max="12020" width="28.5703125" style="3" bestFit="1" customWidth="1"/>
    <col min="12021" max="12021" width="13.42578125" style="3" bestFit="1" customWidth="1"/>
    <col min="12022" max="12022" width="9.140625" style="3"/>
    <col min="12023" max="12023" width="15.140625" style="3" bestFit="1" customWidth="1"/>
    <col min="12024" max="12024" width="9.140625" style="3"/>
    <col min="12025" max="12025" width="10.85546875" style="3" bestFit="1" customWidth="1"/>
    <col min="12026" max="12026" width="12.7109375" style="3" bestFit="1" customWidth="1"/>
    <col min="12027" max="12275" width="9.140625" style="3"/>
    <col min="12276" max="12276" width="28.5703125" style="3" bestFit="1" customWidth="1"/>
    <col min="12277" max="12277" width="13.42578125" style="3" bestFit="1" customWidth="1"/>
    <col min="12278" max="12278" width="9.140625" style="3"/>
    <col min="12279" max="12279" width="15.140625" style="3" bestFit="1" customWidth="1"/>
    <col min="12280" max="12280" width="9.140625" style="3"/>
    <col min="12281" max="12281" width="10.85546875" style="3" bestFit="1" customWidth="1"/>
    <col min="12282" max="12282" width="12.7109375" style="3" bestFit="1" customWidth="1"/>
    <col min="12283" max="12531" width="9.140625" style="3"/>
    <col min="12532" max="12532" width="28.5703125" style="3" bestFit="1" customWidth="1"/>
    <col min="12533" max="12533" width="13.42578125" style="3" bestFit="1" customWidth="1"/>
    <col min="12534" max="12534" width="9.140625" style="3"/>
    <col min="12535" max="12535" width="15.140625" style="3" bestFit="1" customWidth="1"/>
    <col min="12536" max="12536" width="9.140625" style="3"/>
    <col min="12537" max="12537" width="10.85546875" style="3" bestFit="1" customWidth="1"/>
    <col min="12538" max="12538" width="12.7109375" style="3" bestFit="1" customWidth="1"/>
    <col min="12539" max="12787" width="9.140625" style="3"/>
    <col min="12788" max="12788" width="28.5703125" style="3" bestFit="1" customWidth="1"/>
    <col min="12789" max="12789" width="13.42578125" style="3" bestFit="1" customWidth="1"/>
    <col min="12790" max="12790" width="9.140625" style="3"/>
    <col min="12791" max="12791" width="15.140625" style="3" bestFit="1" customWidth="1"/>
    <col min="12792" max="12792" width="9.140625" style="3"/>
    <col min="12793" max="12793" width="10.85546875" style="3" bestFit="1" customWidth="1"/>
    <col min="12794" max="12794" width="12.7109375" style="3" bestFit="1" customWidth="1"/>
    <col min="12795" max="13043" width="9.140625" style="3"/>
    <col min="13044" max="13044" width="28.5703125" style="3" bestFit="1" customWidth="1"/>
    <col min="13045" max="13045" width="13.42578125" style="3" bestFit="1" customWidth="1"/>
    <col min="13046" max="13046" width="9.140625" style="3"/>
    <col min="13047" max="13047" width="15.140625" style="3" bestFit="1" customWidth="1"/>
    <col min="13048" max="13048" width="9.140625" style="3"/>
    <col min="13049" max="13049" width="10.85546875" style="3" bestFit="1" customWidth="1"/>
    <col min="13050" max="13050" width="12.7109375" style="3" bestFit="1" customWidth="1"/>
    <col min="13051" max="13299" width="9.140625" style="3"/>
    <col min="13300" max="13300" width="28.5703125" style="3" bestFit="1" customWidth="1"/>
    <col min="13301" max="13301" width="13.42578125" style="3" bestFit="1" customWidth="1"/>
    <col min="13302" max="13302" width="9.140625" style="3"/>
    <col min="13303" max="13303" width="15.140625" style="3" bestFit="1" customWidth="1"/>
    <col min="13304" max="13304" width="9.140625" style="3"/>
    <col min="13305" max="13305" width="10.85546875" style="3" bestFit="1" customWidth="1"/>
    <col min="13306" max="13306" width="12.7109375" style="3" bestFit="1" customWidth="1"/>
    <col min="13307" max="13555" width="9.140625" style="3"/>
    <col min="13556" max="13556" width="28.5703125" style="3" bestFit="1" customWidth="1"/>
    <col min="13557" max="13557" width="13.42578125" style="3" bestFit="1" customWidth="1"/>
    <col min="13558" max="13558" width="9.140625" style="3"/>
    <col min="13559" max="13559" width="15.140625" style="3" bestFit="1" customWidth="1"/>
    <col min="13560" max="13560" width="9.140625" style="3"/>
    <col min="13561" max="13561" width="10.85546875" style="3" bestFit="1" customWidth="1"/>
    <col min="13562" max="13562" width="12.7109375" style="3" bestFit="1" customWidth="1"/>
    <col min="13563" max="13811" width="9.140625" style="3"/>
    <col min="13812" max="13812" width="28.5703125" style="3" bestFit="1" customWidth="1"/>
    <col min="13813" max="13813" width="13.42578125" style="3" bestFit="1" customWidth="1"/>
    <col min="13814" max="13814" width="9.140625" style="3"/>
    <col min="13815" max="13815" width="15.140625" style="3" bestFit="1" customWidth="1"/>
    <col min="13816" max="13816" width="9.140625" style="3"/>
    <col min="13817" max="13817" width="10.85546875" style="3" bestFit="1" customWidth="1"/>
    <col min="13818" max="13818" width="12.7109375" style="3" bestFit="1" customWidth="1"/>
    <col min="13819" max="14067" width="9.140625" style="3"/>
    <col min="14068" max="14068" width="28.5703125" style="3" bestFit="1" customWidth="1"/>
    <col min="14069" max="14069" width="13.42578125" style="3" bestFit="1" customWidth="1"/>
    <col min="14070" max="14070" width="9.140625" style="3"/>
    <col min="14071" max="14071" width="15.140625" style="3" bestFit="1" customWidth="1"/>
    <col min="14072" max="14072" width="9.140625" style="3"/>
    <col min="14073" max="14073" width="10.85546875" style="3" bestFit="1" customWidth="1"/>
    <col min="14074" max="14074" width="12.7109375" style="3" bestFit="1" customWidth="1"/>
    <col min="14075" max="14323" width="9.140625" style="3"/>
    <col min="14324" max="14324" width="28.5703125" style="3" bestFit="1" customWidth="1"/>
    <col min="14325" max="14325" width="13.42578125" style="3" bestFit="1" customWidth="1"/>
    <col min="14326" max="14326" width="9.140625" style="3"/>
    <col min="14327" max="14327" width="15.140625" style="3" bestFit="1" customWidth="1"/>
    <col min="14328" max="14328" width="9.140625" style="3"/>
    <col min="14329" max="14329" width="10.85546875" style="3" bestFit="1" customWidth="1"/>
    <col min="14330" max="14330" width="12.7109375" style="3" bestFit="1" customWidth="1"/>
    <col min="14331" max="14579" width="9.140625" style="3"/>
    <col min="14580" max="14580" width="28.5703125" style="3" bestFit="1" customWidth="1"/>
    <col min="14581" max="14581" width="13.42578125" style="3" bestFit="1" customWidth="1"/>
    <col min="14582" max="14582" width="9.140625" style="3"/>
    <col min="14583" max="14583" width="15.140625" style="3" bestFit="1" customWidth="1"/>
    <col min="14584" max="14584" width="9.140625" style="3"/>
    <col min="14585" max="14585" width="10.85546875" style="3" bestFit="1" customWidth="1"/>
    <col min="14586" max="14586" width="12.7109375" style="3" bestFit="1" customWidth="1"/>
    <col min="14587" max="14835" width="9.140625" style="3"/>
    <col min="14836" max="14836" width="28.5703125" style="3" bestFit="1" customWidth="1"/>
    <col min="14837" max="14837" width="13.42578125" style="3" bestFit="1" customWidth="1"/>
    <col min="14838" max="14838" width="9.140625" style="3"/>
    <col min="14839" max="14839" width="15.140625" style="3" bestFit="1" customWidth="1"/>
    <col min="14840" max="14840" width="9.140625" style="3"/>
    <col min="14841" max="14841" width="10.85546875" style="3" bestFit="1" customWidth="1"/>
    <col min="14842" max="14842" width="12.7109375" style="3" bestFit="1" customWidth="1"/>
    <col min="14843" max="15091" width="9.140625" style="3"/>
    <col min="15092" max="15092" width="28.5703125" style="3" bestFit="1" customWidth="1"/>
    <col min="15093" max="15093" width="13.42578125" style="3" bestFit="1" customWidth="1"/>
    <col min="15094" max="15094" width="9.140625" style="3"/>
    <col min="15095" max="15095" width="15.140625" style="3" bestFit="1" customWidth="1"/>
    <col min="15096" max="15096" width="9.140625" style="3"/>
    <col min="15097" max="15097" width="10.85546875" style="3" bestFit="1" customWidth="1"/>
    <col min="15098" max="15098" width="12.7109375" style="3" bestFit="1" customWidth="1"/>
    <col min="15099" max="15347" width="9.140625" style="3"/>
    <col min="15348" max="15348" width="28.5703125" style="3" bestFit="1" customWidth="1"/>
    <col min="15349" max="15349" width="13.42578125" style="3" bestFit="1" customWidth="1"/>
    <col min="15350" max="15350" width="9.140625" style="3"/>
    <col min="15351" max="15351" width="15.140625" style="3" bestFit="1" customWidth="1"/>
    <col min="15352" max="15352" width="9.140625" style="3"/>
    <col min="15353" max="15353" width="10.85546875" style="3" bestFit="1" customWidth="1"/>
    <col min="15354" max="15354" width="12.7109375" style="3" bestFit="1" customWidth="1"/>
    <col min="15355" max="15603" width="9.140625" style="3"/>
    <col min="15604" max="15604" width="28.5703125" style="3" bestFit="1" customWidth="1"/>
    <col min="15605" max="15605" width="13.42578125" style="3" bestFit="1" customWidth="1"/>
    <col min="15606" max="15606" width="9.140625" style="3"/>
    <col min="15607" max="15607" width="15.140625" style="3" bestFit="1" customWidth="1"/>
    <col min="15608" max="15608" width="9.140625" style="3"/>
    <col min="15609" max="15609" width="10.85546875" style="3" bestFit="1" customWidth="1"/>
    <col min="15610" max="15610" width="12.7109375" style="3" bestFit="1" customWidth="1"/>
    <col min="15611" max="15859" width="9.140625" style="3"/>
    <col min="15860" max="15860" width="28.5703125" style="3" bestFit="1" customWidth="1"/>
    <col min="15861" max="15861" width="13.42578125" style="3" bestFit="1" customWidth="1"/>
    <col min="15862" max="15862" width="9.140625" style="3"/>
    <col min="15863" max="15863" width="15.140625" style="3" bestFit="1" customWidth="1"/>
    <col min="15864" max="15864" width="9.140625" style="3"/>
    <col min="15865" max="15865" width="10.85546875" style="3" bestFit="1" customWidth="1"/>
    <col min="15866" max="15866" width="12.7109375" style="3" bestFit="1" customWidth="1"/>
    <col min="15867" max="16115" width="9.140625" style="3"/>
    <col min="16116" max="16116" width="28.5703125" style="3" bestFit="1" customWidth="1"/>
    <col min="16117" max="16117" width="13.42578125" style="3" bestFit="1" customWidth="1"/>
    <col min="16118" max="16118" width="9.140625" style="3"/>
    <col min="16119" max="16119" width="15.140625" style="3" bestFit="1" customWidth="1"/>
    <col min="16120" max="16120" width="9.140625" style="3"/>
    <col min="16121" max="16121" width="10.85546875" style="3" bestFit="1" customWidth="1"/>
    <col min="16122" max="16122" width="12.7109375" style="3" bestFit="1" customWidth="1"/>
    <col min="16123" max="16384" width="9.140625" style="3"/>
  </cols>
  <sheetData>
    <row r="1" spans="1:11">
      <c r="A1" s="206" t="s">
        <v>193</v>
      </c>
      <c r="B1" s="207"/>
      <c r="C1" s="208"/>
    </row>
    <row r="2" spans="1:11" ht="15.75" thickBot="1">
      <c r="A2" s="209"/>
      <c r="B2" s="210"/>
      <c r="C2" s="211"/>
    </row>
    <row r="3" spans="1:11" ht="16.5" customHeight="1">
      <c r="A3" s="214" t="s">
        <v>160</v>
      </c>
      <c r="B3" s="214"/>
      <c r="C3" s="214"/>
    </row>
    <row r="4" spans="1:11" ht="15.75" thickBot="1">
      <c r="A4" s="141"/>
      <c r="B4" s="141"/>
      <c r="C4" s="141"/>
    </row>
    <row r="5" spans="1:11" ht="15.75" thickBot="1">
      <c r="A5" s="3" t="s">
        <v>39</v>
      </c>
      <c r="B5" s="136">
        <f>AVERAGE('Cash Flow'!I6:K6)</f>
        <v>1701.3766666666668</v>
      </c>
    </row>
    <row r="6" spans="1:11" ht="15.75" thickBot="1"/>
    <row r="7" spans="1:11" ht="16.5" customHeight="1" thickBot="1">
      <c r="A7" s="32" t="s">
        <v>21</v>
      </c>
      <c r="B7" s="151" t="s">
        <v>0</v>
      </c>
      <c r="C7" s="152" t="s">
        <v>1</v>
      </c>
      <c r="D7" s="9"/>
    </row>
    <row r="8" spans="1:11" ht="16.5" customHeight="1" thickBot="1">
      <c r="A8" s="3" t="s">
        <v>40</v>
      </c>
      <c r="B8" s="46">
        <v>0.12</v>
      </c>
      <c r="C8" s="47">
        <v>0.1</v>
      </c>
      <c r="D8" s="10"/>
      <c r="H8" s="154" t="s">
        <v>173</v>
      </c>
      <c r="I8" s="155"/>
      <c r="J8" s="155"/>
      <c r="K8" s="156"/>
    </row>
    <row r="9" spans="1:11" ht="16.5" thickBot="1">
      <c r="A9" s="3" t="s">
        <v>41</v>
      </c>
      <c r="B9" s="48">
        <v>0.1</v>
      </c>
      <c r="C9" s="49"/>
      <c r="F9" s="39"/>
      <c r="H9" s="157"/>
      <c r="I9" s="158"/>
      <c r="J9" s="158"/>
      <c r="K9" s="159"/>
    </row>
    <row r="10" spans="1:11" ht="16.5" thickBot="1">
      <c r="A10" s="3" t="s">
        <v>42</v>
      </c>
      <c r="B10" s="48">
        <v>0.02</v>
      </c>
      <c r="C10" s="49"/>
      <c r="F10" s="39"/>
      <c r="H10" s="157"/>
      <c r="I10" s="158"/>
      <c r="J10" s="158"/>
      <c r="K10" s="159"/>
    </row>
    <row r="11" spans="1:11" ht="16.5" thickBot="1">
      <c r="B11" s="50"/>
      <c r="C11" s="49"/>
      <c r="F11" s="39"/>
      <c r="H11" s="157"/>
      <c r="I11" s="158"/>
      <c r="J11" s="158"/>
      <c r="K11" s="159"/>
    </row>
    <row r="12" spans="1:11" ht="16.5" thickBot="1">
      <c r="A12" s="3" t="s">
        <v>117</v>
      </c>
      <c r="B12" s="137">
        <f>'First Page'!B16</f>
        <v>19.97</v>
      </c>
      <c r="C12" s="49"/>
      <c r="H12" s="157"/>
      <c r="I12" s="158"/>
      <c r="J12" s="158"/>
      <c r="K12" s="159"/>
    </row>
    <row r="13" spans="1:11" ht="16.5" thickBot="1">
      <c r="A13" s="11" t="s">
        <v>43</v>
      </c>
      <c r="B13" s="136">
        <f>'Balance Sheet'!K13+'Balance Sheet'!K10-'Balance Sheet'!K26-'Balance Sheet'!K29</f>
        <v>-3368.94</v>
      </c>
      <c r="C13" s="49"/>
      <c r="D13" s="2"/>
      <c r="H13" s="160"/>
      <c r="I13" s="161"/>
      <c r="J13" s="161"/>
      <c r="K13" s="162"/>
    </row>
    <row r="14" spans="1:11" ht="15.75" thickBot="1"/>
    <row r="15" spans="1:11" ht="15.75">
      <c r="A15" s="74" t="s">
        <v>2</v>
      </c>
      <c r="B15" s="73" t="s">
        <v>36</v>
      </c>
      <c r="C15" s="73" t="s">
        <v>3</v>
      </c>
      <c r="D15" s="72" t="s">
        <v>37</v>
      </c>
    </row>
    <row r="16" spans="1:11">
      <c r="A16" s="75">
        <v>1</v>
      </c>
      <c r="B16" s="30">
        <f>(B5*C16)+B5</f>
        <v>1905.5418666666667</v>
      </c>
      <c r="C16" s="31">
        <f>$B$8</f>
        <v>0.12</v>
      </c>
      <c r="D16" s="76">
        <f>B16/((1+$B$9)^A16)</f>
        <v>1732.3107878787878</v>
      </c>
    </row>
    <row r="17" spans="1:6">
      <c r="A17" s="75">
        <v>2</v>
      </c>
      <c r="B17" s="30">
        <f t="shared" ref="B17:B25" si="0">(B16*C17)+B16</f>
        <v>2134.2068906666668</v>
      </c>
      <c r="C17" s="31">
        <f>$B$8</f>
        <v>0.12</v>
      </c>
      <c r="D17" s="76">
        <f t="shared" ref="D17:D25" si="1">B17/((1+$B$9)^A17)</f>
        <v>1763.807347658402</v>
      </c>
    </row>
    <row r="18" spans="1:6">
      <c r="A18" s="75">
        <v>3</v>
      </c>
      <c r="B18" s="30">
        <f t="shared" si="0"/>
        <v>2390.3117175466668</v>
      </c>
      <c r="C18" s="31">
        <f>$B$8</f>
        <v>0.12</v>
      </c>
      <c r="D18" s="76">
        <f t="shared" si="1"/>
        <v>1795.8765721612817</v>
      </c>
      <c r="F18" s="38"/>
    </row>
    <row r="19" spans="1:6">
      <c r="A19" s="75">
        <v>4</v>
      </c>
      <c r="B19" s="30">
        <f t="shared" si="0"/>
        <v>2677.149123652267</v>
      </c>
      <c r="C19" s="31">
        <f>$B$8</f>
        <v>0.12</v>
      </c>
      <c r="D19" s="76">
        <f t="shared" si="1"/>
        <v>1828.5288734733053</v>
      </c>
      <c r="F19" s="39"/>
    </row>
    <row r="20" spans="1:6">
      <c r="A20" s="75">
        <v>5</v>
      </c>
      <c r="B20" s="30">
        <f t="shared" si="0"/>
        <v>2998.407018490539</v>
      </c>
      <c r="C20" s="31">
        <f>$B$8</f>
        <v>0.12</v>
      </c>
      <c r="D20" s="76">
        <f t="shared" si="1"/>
        <v>1861.7748529910016</v>
      </c>
      <c r="F20" s="39"/>
    </row>
    <row r="21" spans="1:6">
      <c r="A21" s="75">
        <v>6</v>
      </c>
      <c r="B21" s="30">
        <f t="shared" si="0"/>
        <v>3298.2477203395929</v>
      </c>
      <c r="C21" s="31">
        <f>$C$8</f>
        <v>0.1</v>
      </c>
      <c r="D21" s="76">
        <f t="shared" si="1"/>
        <v>1861.7748529910014</v>
      </c>
      <c r="F21" s="39"/>
    </row>
    <row r="22" spans="1:6">
      <c r="A22" s="75">
        <v>7</v>
      </c>
      <c r="B22" s="30">
        <f t="shared" si="0"/>
        <v>3628.0724923735524</v>
      </c>
      <c r="C22" s="31">
        <f>$C$8</f>
        <v>0.1</v>
      </c>
      <c r="D22" s="76">
        <f t="shared" si="1"/>
        <v>1861.7748529910011</v>
      </c>
      <c r="F22" s="39"/>
    </row>
    <row r="23" spans="1:6">
      <c r="A23" s="75">
        <v>8</v>
      </c>
      <c r="B23" s="30">
        <f t="shared" si="0"/>
        <v>3990.8797416109078</v>
      </c>
      <c r="C23" s="31">
        <f>$C$8</f>
        <v>0.1</v>
      </c>
      <c r="D23" s="76">
        <f t="shared" si="1"/>
        <v>1861.7748529910014</v>
      </c>
    </row>
    <row r="24" spans="1:6">
      <c r="A24" s="75">
        <v>9</v>
      </c>
      <c r="B24" s="30">
        <f t="shared" si="0"/>
        <v>4389.9677157719989</v>
      </c>
      <c r="C24" s="31">
        <f>$C$8</f>
        <v>0.1</v>
      </c>
      <c r="D24" s="76">
        <f t="shared" si="1"/>
        <v>1861.7748529910014</v>
      </c>
    </row>
    <row r="25" spans="1:6" ht="15.75" thickBot="1">
      <c r="A25" s="77">
        <v>10</v>
      </c>
      <c r="B25" s="78">
        <f t="shared" si="0"/>
        <v>4828.9644873491989</v>
      </c>
      <c r="C25" s="79">
        <f>$C$8</f>
        <v>0.1</v>
      </c>
      <c r="D25" s="80">
        <f t="shared" si="1"/>
        <v>1861.7748529910011</v>
      </c>
    </row>
    <row r="26" spans="1:6" ht="15.75" thickBot="1">
      <c r="A26" s="13"/>
      <c r="B26" s="14"/>
      <c r="C26" s="12"/>
      <c r="D26" s="15"/>
    </row>
    <row r="27" spans="1:6" ht="15.75">
      <c r="A27" s="212" t="s">
        <v>38</v>
      </c>
      <c r="B27" s="213"/>
      <c r="C27" s="12"/>
      <c r="D27" s="15"/>
    </row>
    <row r="28" spans="1:6">
      <c r="A28" s="81" t="s">
        <v>4</v>
      </c>
      <c r="B28" s="76">
        <f>(B25*B10)+B25</f>
        <v>4925.5437770961826</v>
      </c>
      <c r="C28" s="16"/>
      <c r="D28" s="17"/>
    </row>
    <row r="29" spans="1:6">
      <c r="A29" s="82" t="s">
        <v>35</v>
      </c>
      <c r="B29" s="76">
        <f>SUM(D16:D25)</f>
        <v>18291.172699117786</v>
      </c>
      <c r="C29" s="11"/>
    </row>
    <row r="30" spans="1:6">
      <c r="A30" s="81" t="s">
        <v>34</v>
      </c>
      <c r="B30" s="76">
        <f>((B28)/($B$9-$B$10))/(1+$B$9)^A25</f>
        <v>23737.629375635264</v>
      </c>
      <c r="C30" s="11"/>
    </row>
    <row r="31" spans="1:6">
      <c r="A31" s="81" t="s">
        <v>33</v>
      </c>
      <c r="B31" s="76">
        <f>B29+B30</f>
        <v>42028.802074753054</v>
      </c>
      <c r="C31" s="11"/>
    </row>
    <row r="32" spans="1:6">
      <c r="A32" s="81" t="s">
        <v>32</v>
      </c>
      <c r="B32" s="76">
        <f>B12</f>
        <v>19.97</v>
      </c>
      <c r="C32" s="11"/>
    </row>
    <row r="33" spans="1:4" ht="16.5" thickBot="1">
      <c r="A33" s="83" t="s">
        <v>44</v>
      </c>
      <c r="B33" s="84">
        <f>(B31-B13)/B32</f>
        <v>2273.2970493116204</v>
      </c>
      <c r="C33" s="11"/>
    </row>
    <row r="35" spans="1:4" ht="15.75">
      <c r="A35" s="252" t="s">
        <v>213</v>
      </c>
      <c r="D35" s="2"/>
    </row>
    <row r="37" spans="1:4">
      <c r="A37" s="18"/>
      <c r="D37" s="19"/>
    </row>
    <row r="38" spans="1:4">
      <c r="A38" s="20"/>
    </row>
  </sheetData>
  <mergeCells count="4">
    <mergeCell ref="A1:C2"/>
    <mergeCell ref="A27:B27"/>
    <mergeCell ref="A3:C3"/>
    <mergeCell ref="H8:K13"/>
  </mergeCells>
  <hyperlinks>
    <hyperlink ref="A35" r:id="rId1"/>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dimension ref="A1:N23"/>
  <sheetViews>
    <sheetView workbookViewId="0">
      <selection sqref="A1:K1"/>
    </sheetView>
  </sheetViews>
  <sheetFormatPr defaultRowHeight="15"/>
  <cols>
    <col min="1" max="1" width="32.7109375" style="3" bestFit="1" customWidth="1"/>
    <col min="2" max="2" width="9.28515625" style="3" bestFit="1" customWidth="1"/>
    <col min="3" max="6" width="7.140625" style="3" bestFit="1" customWidth="1"/>
    <col min="7" max="10" width="8.42578125" style="3" bestFit="1" customWidth="1"/>
    <col min="11" max="11" width="10.140625" style="3" bestFit="1" customWidth="1"/>
    <col min="12" max="12" width="12" style="3" bestFit="1" customWidth="1"/>
    <col min="13" max="13" width="11.85546875" style="3" bestFit="1" customWidth="1"/>
    <col min="14" max="16384" width="9.140625" style="3"/>
  </cols>
  <sheetData>
    <row r="1" spans="1:14" s="21" customFormat="1" ht="20.25" thickBot="1">
      <c r="A1" s="217" t="s">
        <v>194</v>
      </c>
      <c r="B1" s="218"/>
      <c r="C1" s="218"/>
      <c r="D1" s="218"/>
      <c r="E1" s="218"/>
      <c r="F1" s="218"/>
      <c r="G1" s="218"/>
      <c r="H1" s="218"/>
      <c r="I1" s="218"/>
      <c r="J1" s="218"/>
      <c r="K1" s="219"/>
    </row>
    <row r="2" spans="1:14" s="21" customFormat="1" ht="16.5" customHeight="1" thickBot="1">
      <c r="A2" s="220" t="s">
        <v>159</v>
      </c>
      <c r="B2" s="220"/>
      <c r="C2" s="220"/>
      <c r="D2" s="220"/>
      <c r="E2" s="220"/>
      <c r="F2" s="220"/>
      <c r="G2" s="220"/>
      <c r="H2" s="220"/>
      <c r="I2" s="220"/>
      <c r="J2" s="220"/>
      <c r="K2" s="220"/>
      <c r="L2" s="53"/>
    </row>
    <row r="3" spans="1:14" s="21" customFormat="1" ht="15.75">
      <c r="A3" s="63" t="s">
        <v>2</v>
      </c>
      <c r="B3" s="64" t="s">
        <v>23</v>
      </c>
      <c r="C3" s="64" t="s">
        <v>22</v>
      </c>
      <c r="D3" s="64" t="s">
        <v>24</v>
      </c>
      <c r="E3" s="64" t="s">
        <v>25</v>
      </c>
      <c r="F3" s="64" t="s">
        <v>26</v>
      </c>
      <c r="G3" s="64" t="s">
        <v>16</v>
      </c>
      <c r="H3" s="64" t="s">
        <v>17</v>
      </c>
      <c r="I3" s="64" t="s">
        <v>18</v>
      </c>
      <c r="J3" s="64" t="s">
        <v>19</v>
      </c>
      <c r="K3" s="65" t="s">
        <v>188</v>
      </c>
      <c r="N3" s="22"/>
    </row>
    <row r="4" spans="1:14">
      <c r="A4" s="66" t="s">
        <v>138</v>
      </c>
      <c r="B4" s="51">
        <f>'P &amp; L Account'!B28</f>
        <v>40.584376564847261</v>
      </c>
      <c r="C4" s="51">
        <f>'P &amp; L Account'!C28</f>
        <v>48.639959939909765</v>
      </c>
      <c r="D4" s="51">
        <f>'P &amp; L Account'!D28</f>
        <v>42.958938407611399</v>
      </c>
      <c r="E4" s="51">
        <f>'P &amp; L Account'!E28</f>
        <v>48.466700050075026</v>
      </c>
      <c r="F4" s="51">
        <f>'P &amp; L Account'!F28</f>
        <v>64.184276414622033</v>
      </c>
      <c r="G4" s="51">
        <f>'P &amp; L Account'!G28</f>
        <v>111.75913870806217</v>
      </c>
      <c r="H4" s="51">
        <f>'P &amp; L Account'!H28</f>
        <v>96.539809714571774</v>
      </c>
      <c r="I4" s="51">
        <f>'P &amp; L Account'!I28</f>
        <v>119.08512769153727</v>
      </c>
      <c r="J4" s="51">
        <f>'P &amp; L Account'!J28</f>
        <v>106.0671006509766</v>
      </c>
      <c r="K4" s="67">
        <f>'P &amp; L Account'!K28</f>
        <v>105.61241862794169</v>
      </c>
      <c r="L4" s="23"/>
    </row>
    <row r="5" spans="1:14">
      <c r="A5" s="66" t="s">
        <v>45</v>
      </c>
      <c r="B5" s="51">
        <v>14.98</v>
      </c>
      <c r="C5" s="51">
        <v>20.23</v>
      </c>
      <c r="D5" s="51">
        <v>18.47</v>
      </c>
      <c r="E5" s="51">
        <v>19.09</v>
      </c>
      <c r="F5" s="51">
        <v>18.399999999999999</v>
      </c>
      <c r="G5" s="51">
        <v>23.21</v>
      </c>
      <c r="H5" s="51">
        <v>19.579999999999998</v>
      </c>
      <c r="I5" s="51">
        <v>22.94</v>
      </c>
      <c r="J5" s="51">
        <v>18.850000000000001</v>
      </c>
      <c r="K5" s="67">
        <v>21.52</v>
      </c>
    </row>
    <row r="6" spans="1:14">
      <c r="A6" s="66" t="s">
        <v>46</v>
      </c>
      <c r="B6" s="51">
        <v>10.42</v>
      </c>
      <c r="C6" s="51">
        <v>12</v>
      </c>
      <c r="D6" s="51">
        <v>13.23</v>
      </c>
      <c r="E6" s="51">
        <v>13.62</v>
      </c>
      <c r="F6" s="51">
        <v>12.09</v>
      </c>
      <c r="G6" s="51">
        <v>15.09</v>
      </c>
      <c r="H6" s="51">
        <v>13.72</v>
      </c>
      <c r="I6" s="51">
        <v>16.57</v>
      </c>
      <c r="J6" s="51">
        <v>14.34</v>
      </c>
      <c r="K6" s="67">
        <v>13.55</v>
      </c>
    </row>
    <row r="7" spans="1:14" ht="15.75" thickBot="1">
      <c r="A7" s="69" t="s">
        <v>47</v>
      </c>
      <c r="B7" s="70">
        <f>(B5+B6)/2</f>
        <v>12.7</v>
      </c>
      <c r="C7" s="70">
        <f>(C5+C6)/2</f>
        <v>16.115000000000002</v>
      </c>
      <c r="D7" s="70">
        <f>(D5+D6)/2</f>
        <v>15.85</v>
      </c>
      <c r="E7" s="70">
        <f>(E5+E6)/2</f>
        <v>16.355</v>
      </c>
      <c r="F7" s="70">
        <f>(F5+F6)/2</f>
        <v>15.244999999999999</v>
      </c>
      <c r="G7" s="70">
        <f>(G5+G6)/2</f>
        <v>19.149999999999999</v>
      </c>
      <c r="H7" s="70">
        <f>(H5+H6)/2</f>
        <v>16.649999999999999</v>
      </c>
      <c r="I7" s="70">
        <f>(I5+I6)/2</f>
        <v>19.755000000000003</v>
      </c>
      <c r="J7" s="70">
        <f>(J5+J6)/2</f>
        <v>16.594999999999999</v>
      </c>
      <c r="K7" s="71">
        <f>(K5+K6)/2</f>
        <v>17.535</v>
      </c>
    </row>
    <row r="8" spans="1:14" ht="15.75" thickBot="1">
      <c r="A8" s="24"/>
      <c r="B8" s="24"/>
      <c r="C8" s="24"/>
      <c r="D8" s="25"/>
      <c r="E8" s="25"/>
      <c r="F8" s="25"/>
      <c r="G8" s="25"/>
      <c r="H8" s="25"/>
      <c r="I8" s="25"/>
      <c r="J8" s="25"/>
      <c r="K8" s="25"/>
      <c r="L8" s="25"/>
      <c r="M8" s="25"/>
    </row>
    <row r="9" spans="1:14" ht="19.5" customHeight="1">
      <c r="A9" s="215" t="s">
        <v>48</v>
      </c>
      <c r="B9" s="216"/>
      <c r="F9" s="154" t="s">
        <v>182</v>
      </c>
      <c r="G9" s="155"/>
      <c r="H9" s="155"/>
      <c r="I9" s="155"/>
      <c r="J9" s="155"/>
      <c r="K9" s="155"/>
      <c r="L9" s="155"/>
      <c r="M9" s="156"/>
    </row>
    <row r="10" spans="1:14" ht="15.75" customHeight="1">
      <c r="A10" s="62" t="s">
        <v>8</v>
      </c>
      <c r="B10" s="55">
        <f>AVERAGE(B7:K7)*AVERAGE(I4:K4)</f>
        <v>1829.6797721582363</v>
      </c>
      <c r="D10" s="2"/>
      <c r="F10" s="157"/>
      <c r="G10" s="158"/>
      <c r="H10" s="158"/>
      <c r="I10" s="158"/>
      <c r="J10" s="158"/>
      <c r="K10" s="158"/>
      <c r="L10" s="158"/>
      <c r="M10" s="159"/>
    </row>
    <row r="11" spans="1:14" ht="15.75" customHeight="1">
      <c r="A11" s="62" t="s">
        <v>5</v>
      </c>
      <c r="B11" s="55">
        <f>DCF!B33</f>
        <v>2273.2970493116204</v>
      </c>
      <c r="D11" s="2"/>
      <c r="F11" s="157"/>
      <c r="G11" s="158"/>
      <c r="H11" s="158"/>
      <c r="I11" s="158"/>
      <c r="J11" s="158"/>
      <c r="K11" s="158"/>
      <c r="L11" s="158"/>
      <c r="M11" s="159"/>
    </row>
    <row r="12" spans="1:14" ht="16.5" customHeight="1" thickBot="1">
      <c r="A12" s="24"/>
      <c r="B12" s="24"/>
      <c r="C12" s="24"/>
      <c r="F12" s="157"/>
      <c r="G12" s="158"/>
      <c r="H12" s="158"/>
      <c r="I12" s="158"/>
      <c r="J12" s="158"/>
      <c r="K12" s="158"/>
      <c r="L12" s="158"/>
      <c r="M12" s="159"/>
    </row>
    <row r="13" spans="1:14" ht="15.75" customHeight="1">
      <c r="A13" s="215" t="s">
        <v>28</v>
      </c>
      <c r="B13" s="216"/>
      <c r="F13" s="157"/>
      <c r="G13" s="158"/>
      <c r="H13" s="158"/>
      <c r="I13" s="158"/>
      <c r="J13" s="158"/>
      <c r="K13" s="158"/>
      <c r="L13" s="158"/>
      <c r="M13" s="159"/>
    </row>
    <row r="14" spans="1:14" ht="15.75" customHeight="1">
      <c r="A14" s="54" t="s">
        <v>6</v>
      </c>
      <c r="B14" s="55">
        <f>AVERAGE(B10:B11)</f>
        <v>2051.4884107349285</v>
      </c>
      <c r="C14" s="26"/>
      <c r="D14" s="6"/>
      <c r="E14" s="27"/>
      <c r="F14" s="157"/>
      <c r="G14" s="158"/>
      <c r="H14" s="158"/>
      <c r="I14" s="158"/>
      <c r="J14" s="158"/>
      <c r="K14" s="158"/>
      <c r="L14" s="158"/>
      <c r="M14" s="159"/>
    </row>
    <row r="15" spans="1:14" ht="15.75" customHeight="1">
      <c r="A15" s="54" t="s">
        <v>7</v>
      </c>
      <c r="B15" s="55">
        <f>AVERAGE(B10:B11)-(0.5)*(STDEV(B10,B11))</f>
        <v>1894.6460182715937</v>
      </c>
      <c r="C15" s="2"/>
      <c r="D15" s="6"/>
      <c r="F15" s="157"/>
      <c r="G15" s="158"/>
      <c r="H15" s="158"/>
      <c r="I15" s="158"/>
      <c r="J15" s="158"/>
      <c r="K15" s="158"/>
      <c r="L15" s="158"/>
      <c r="M15" s="159"/>
    </row>
    <row r="16" spans="1:14" ht="15.75">
      <c r="A16" s="125" t="s">
        <v>29</v>
      </c>
      <c r="B16" s="149">
        <v>0.2</v>
      </c>
      <c r="F16" s="157"/>
      <c r="G16" s="158"/>
      <c r="H16" s="158"/>
      <c r="I16" s="158"/>
      <c r="J16" s="158"/>
      <c r="K16" s="158"/>
      <c r="L16" s="158"/>
      <c r="M16" s="159"/>
    </row>
    <row r="17" spans="1:13" ht="15.75">
      <c r="A17" s="57" t="s">
        <v>27</v>
      </c>
      <c r="B17" s="58">
        <f>((B14+B15)/2)*(1-B16)</f>
        <v>1578.4537716026089</v>
      </c>
      <c r="F17" s="157"/>
      <c r="G17" s="158"/>
      <c r="H17" s="158"/>
      <c r="I17" s="158"/>
      <c r="J17" s="158"/>
      <c r="K17" s="158"/>
      <c r="L17" s="158"/>
      <c r="M17" s="159"/>
    </row>
    <row r="18" spans="1:13" ht="15.75">
      <c r="A18" s="56" t="s">
        <v>30</v>
      </c>
      <c r="B18" s="59">
        <f>'First Page'!B14</f>
        <v>2650</v>
      </c>
      <c r="C18" s="26"/>
      <c r="F18" s="157"/>
      <c r="G18" s="158"/>
      <c r="H18" s="158"/>
      <c r="I18" s="158"/>
      <c r="J18" s="158"/>
      <c r="K18" s="158"/>
      <c r="L18" s="158"/>
      <c r="M18" s="159"/>
    </row>
    <row r="19" spans="1:13" ht="16.5" thickBot="1">
      <c r="A19" s="60" t="s">
        <v>31</v>
      </c>
      <c r="B19" s="61">
        <f>B18/B17-1</f>
        <v>0.6788581633971118</v>
      </c>
      <c r="F19" s="157"/>
      <c r="G19" s="158"/>
      <c r="H19" s="158"/>
      <c r="I19" s="158"/>
      <c r="J19" s="158"/>
      <c r="K19" s="158"/>
      <c r="L19" s="158"/>
      <c r="M19" s="159"/>
    </row>
    <row r="20" spans="1:13" ht="15.75" customHeight="1">
      <c r="F20" s="157"/>
      <c r="G20" s="158"/>
      <c r="H20" s="158"/>
      <c r="I20" s="158"/>
      <c r="J20" s="158"/>
      <c r="K20" s="158"/>
      <c r="L20" s="158"/>
      <c r="M20" s="159"/>
    </row>
    <row r="21" spans="1:13" ht="15" customHeight="1">
      <c r="B21" s="38"/>
      <c r="C21" s="38"/>
      <c r="D21" s="38"/>
      <c r="E21" s="38"/>
      <c r="F21" s="157"/>
      <c r="G21" s="158"/>
      <c r="H21" s="158"/>
      <c r="I21" s="158"/>
      <c r="J21" s="158"/>
      <c r="K21" s="158"/>
      <c r="L21" s="158"/>
      <c r="M21" s="159"/>
    </row>
    <row r="22" spans="1:13" ht="15.75" customHeight="1">
      <c r="F22" s="157"/>
      <c r="G22" s="158"/>
      <c r="H22" s="158"/>
      <c r="I22" s="158"/>
      <c r="J22" s="158"/>
      <c r="K22" s="158"/>
      <c r="L22" s="158"/>
      <c r="M22" s="159"/>
    </row>
    <row r="23" spans="1:13" ht="15.75" customHeight="1" thickBot="1">
      <c r="F23" s="160"/>
      <c r="G23" s="161"/>
      <c r="H23" s="161"/>
      <c r="I23" s="161"/>
      <c r="J23" s="161"/>
      <c r="K23" s="161"/>
      <c r="L23" s="161"/>
      <c r="M23" s="162"/>
    </row>
  </sheetData>
  <mergeCells count="5">
    <mergeCell ref="F9:M23"/>
    <mergeCell ref="A13:B13"/>
    <mergeCell ref="A9:B9"/>
    <mergeCell ref="A1:K1"/>
    <mergeCell ref="A2:K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dimension ref="A1:O16"/>
  <sheetViews>
    <sheetView workbookViewId="0">
      <selection activeCell="A17" sqref="A17"/>
    </sheetView>
  </sheetViews>
  <sheetFormatPr defaultRowHeight="15"/>
  <cols>
    <col min="1" max="1" width="40" bestFit="1" customWidth="1"/>
    <col min="2" max="2" width="8.42578125" bestFit="1" customWidth="1"/>
    <col min="3" max="9" width="8.140625" bestFit="1" customWidth="1"/>
    <col min="10" max="10" width="9.42578125" bestFit="1" customWidth="1"/>
    <col min="11" max="11" width="10.140625" bestFit="1" customWidth="1"/>
    <col min="12" max="12" width="15.7109375" bestFit="1" customWidth="1"/>
    <col min="13" max="13" width="14.42578125" bestFit="1" customWidth="1"/>
  </cols>
  <sheetData>
    <row r="1" spans="1:15" ht="20.25" thickBot="1">
      <c r="A1" s="222" t="s">
        <v>195</v>
      </c>
      <c r="B1" s="3"/>
      <c r="C1" s="3"/>
      <c r="D1" s="3"/>
      <c r="E1" s="3"/>
      <c r="F1" s="3"/>
      <c r="G1" s="3"/>
      <c r="H1" s="3"/>
      <c r="I1" s="3"/>
      <c r="J1" s="3"/>
      <c r="K1" s="3"/>
      <c r="L1" s="3"/>
      <c r="M1" s="3"/>
      <c r="N1" s="3"/>
      <c r="O1" s="3"/>
    </row>
    <row r="2" spans="1:15" ht="15.75">
      <c r="A2" s="63" t="s">
        <v>186</v>
      </c>
      <c r="B2" s="64" t="s">
        <v>23</v>
      </c>
      <c r="C2" s="64" t="s">
        <v>22</v>
      </c>
      <c r="D2" s="64" t="s">
        <v>24</v>
      </c>
      <c r="E2" s="64" t="s">
        <v>25</v>
      </c>
      <c r="F2" s="64" t="s">
        <v>26</v>
      </c>
      <c r="G2" s="64" t="s">
        <v>16</v>
      </c>
      <c r="H2" s="64" t="s">
        <v>17</v>
      </c>
      <c r="I2" s="64" t="s">
        <v>18</v>
      </c>
      <c r="J2" s="64" t="s">
        <v>19</v>
      </c>
      <c r="K2" s="65" t="s">
        <v>188</v>
      </c>
      <c r="L2" s="223" t="s">
        <v>196</v>
      </c>
      <c r="M2" s="224" t="s">
        <v>197</v>
      </c>
      <c r="N2" s="3"/>
      <c r="O2" s="3"/>
    </row>
    <row r="3" spans="1:15" ht="15.75">
      <c r="A3" s="225" t="s">
        <v>198</v>
      </c>
      <c r="B3" s="226">
        <f>'P &amp; L Account'!B27</f>
        <v>810.4699999999998</v>
      </c>
      <c r="C3" s="226">
        <f>'P &amp; L Account'!C27</f>
        <v>971.33999999999799</v>
      </c>
      <c r="D3" s="226">
        <f>'P &amp; L Account'!D27</f>
        <v>857.88999999999965</v>
      </c>
      <c r="E3" s="226">
        <f>'P &amp; L Account'!E27</f>
        <v>967.87999999999818</v>
      </c>
      <c r="F3" s="226">
        <f>'P &amp; L Account'!F27</f>
        <v>1281.760000000002</v>
      </c>
      <c r="G3" s="226">
        <f>'P &amp; L Account'!G27</f>
        <v>2231.8300000000013</v>
      </c>
      <c r="H3" s="226">
        <f>'P &amp; L Account'!H27</f>
        <v>1927.8999999999983</v>
      </c>
      <c r="I3" s="226">
        <f>'P &amp; L Account'!I27</f>
        <v>2378.1299999999992</v>
      </c>
      <c r="J3" s="226">
        <f>'P &amp; L Account'!J27</f>
        <v>2118.1600000000026</v>
      </c>
      <c r="K3" s="226">
        <f>'P &amp; L Account'!K27</f>
        <v>2109.0799999999954</v>
      </c>
      <c r="L3" s="227">
        <f>(K3/B3)^(1/9)-1</f>
        <v>0.11211751046658436</v>
      </c>
      <c r="M3" s="228">
        <f>(K3/F3)^(1/5)-1</f>
        <v>0.10473284884928158</v>
      </c>
      <c r="N3" s="3"/>
      <c r="O3" s="3"/>
    </row>
    <row r="4" spans="1:15" ht="15.75">
      <c r="A4" s="229" t="s">
        <v>199</v>
      </c>
      <c r="B4" s="230">
        <f>'P &amp; L Account'!B28</f>
        <v>40.584376564847261</v>
      </c>
      <c r="C4" s="230">
        <f>'P &amp; L Account'!C28</f>
        <v>48.639959939909765</v>
      </c>
      <c r="D4" s="230">
        <f>'P &amp; L Account'!D28</f>
        <v>42.958938407611399</v>
      </c>
      <c r="E4" s="230">
        <f>'P &amp; L Account'!E28</f>
        <v>48.466700050075026</v>
      </c>
      <c r="F4" s="230">
        <f>'P &amp; L Account'!F28</f>
        <v>64.184276414622033</v>
      </c>
      <c r="G4" s="230">
        <f>'P &amp; L Account'!G28</f>
        <v>111.75913870806217</v>
      </c>
      <c r="H4" s="230">
        <f>'P &amp; L Account'!H28</f>
        <v>96.539809714571774</v>
      </c>
      <c r="I4" s="230">
        <f>'P &amp; L Account'!I28</f>
        <v>119.08512769153727</v>
      </c>
      <c r="J4" s="230">
        <f>'P &amp; L Account'!J28</f>
        <v>106.0671006509766</v>
      </c>
      <c r="K4" s="230">
        <f>'P &amp; L Account'!K28</f>
        <v>105.61241862794169</v>
      </c>
      <c r="L4" s="227">
        <f>(K4/B4)^(1/9)-1</f>
        <v>0.11211751046658436</v>
      </c>
      <c r="M4" s="228">
        <f>(K4/F4)^(1/5)-1</f>
        <v>0.10473284884928158</v>
      </c>
      <c r="N4" s="3"/>
      <c r="O4" s="3"/>
    </row>
    <row r="5" spans="1:15" ht="15.75">
      <c r="A5" s="225" t="s">
        <v>200</v>
      </c>
      <c r="B5" s="231">
        <f>Ratios!B12</f>
        <v>0.10920347901073209</v>
      </c>
      <c r="C5" s="231">
        <f>Ratios!C12</f>
        <v>0.11146915645893128</v>
      </c>
      <c r="D5" s="231">
        <f>Ratios!D12</f>
        <v>8.665590568042697E-2</v>
      </c>
      <c r="E5" s="231">
        <f>Ratios!E12</f>
        <v>9.3679707311407331E-2</v>
      </c>
      <c r="F5" s="231">
        <f>Ratios!F12</f>
        <v>0.10404639292417006</v>
      </c>
      <c r="G5" s="231">
        <f>Ratios!G12</f>
        <v>0.14162993442136093</v>
      </c>
      <c r="H5" s="231">
        <f>Ratios!H12</f>
        <v>9.9386893343774221E-2</v>
      </c>
      <c r="I5" s="231">
        <f>Ratios!I12</f>
        <v>0.10085783851159269</v>
      </c>
      <c r="J5" s="231">
        <f>Ratios!J12</f>
        <v>8.9117729596505671E-2</v>
      </c>
      <c r="K5" s="231">
        <f>Ratios!K12</f>
        <v>8.3443750007418077E-2</v>
      </c>
      <c r="L5" s="227"/>
      <c r="M5" s="228"/>
      <c r="N5" s="3"/>
      <c r="O5" s="3"/>
    </row>
    <row r="6" spans="1:15" ht="16.5" thickBot="1">
      <c r="A6" s="232" t="s">
        <v>201</v>
      </c>
      <c r="B6" s="233">
        <f>Ratios!B15</f>
        <v>0.54270848678835915</v>
      </c>
      <c r="C6" s="233">
        <f>Ratios!C15</f>
        <v>0.48341486963316027</v>
      </c>
      <c r="D6" s="233">
        <f>Ratios!D15</f>
        <v>0.34731544982712959</v>
      </c>
      <c r="E6" s="233">
        <f>Ratios!E15</f>
        <v>0.32411326618088232</v>
      </c>
      <c r="F6" s="233">
        <f>Ratios!F15</f>
        <v>0.3372387028875885</v>
      </c>
      <c r="G6" s="233">
        <f>Ratios!G15</f>
        <v>0.64410306434017739</v>
      </c>
      <c r="H6" s="233">
        <f>Ratios!H15</f>
        <v>0.65218567958701723</v>
      </c>
      <c r="I6" s="233">
        <f>Ratios!I15</f>
        <v>0.55436462517162666</v>
      </c>
      <c r="J6" s="233">
        <f>Ratios!J15</f>
        <v>0.42310396625012037</v>
      </c>
      <c r="K6" s="233">
        <f>Ratios!K15</f>
        <v>0.37663017177184388</v>
      </c>
      <c r="L6" s="234"/>
      <c r="M6" s="235"/>
      <c r="N6" s="3"/>
      <c r="O6" s="3"/>
    </row>
    <row r="7" spans="1:15" ht="15.75">
      <c r="A7" s="236"/>
      <c r="B7" s="237"/>
      <c r="C7" s="237"/>
      <c r="D7" s="237"/>
      <c r="E7" s="237"/>
      <c r="F7" s="237"/>
      <c r="G7" s="237"/>
      <c r="H7" s="237"/>
      <c r="I7" s="237"/>
      <c r="J7" s="237"/>
      <c r="K7" s="237"/>
      <c r="L7" s="237"/>
      <c r="M7" s="237"/>
      <c r="N7" s="237"/>
      <c r="O7" s="3"/>
    </row>
    <row r="8" spans="1:15" ht="16.5" thickBot="1">
      <c r="A8" s="8" t="s">
        <v>202</v>
      </c>
      <c r="B8" s="238"/>
      <c r="C8" s="238"/>
      <c r="D8" s="238"/>
      <c r="E8" s="238"/>
      <c r="F8" s="238"/>
      <c r="G8" s="238"/>
      <c r="H8" s="238"/>
      <c r="I8" s="238"/>
      <c r="J8" s="238"/>
      <c r="K8" s="238"/>
      <c r="L8" s="239"/>
      <c r="M8" s="239"/>
      <c r="N8" s="3"/>
      <c r="O8" s="3"/>
    </row>
    <row r="9" spans="1:15" ht="15.75">
      <c r="A9" s="240" t="s">
        <v>203</v>
      </c>
      <c r="B9" s="241">
        <v>0.1</v>
      </c>
      <c r="C9" s="3"/>
      <c r="D9" s="3"/>
      <c r="E9" s="3"/>
      <c r="F9" s="3"/>
      <c r="G9" s="3"/>
      <c r="H9" s="3"/>
      <c r="I9" s="3"/>
      <c r="J9" s="3"/>
      <c r="K9" s="3"/>
      <c r="L9" s="3"/>
      <c r="M9" s="3"/>
      <c r="N9" s="3"/>
      <c r="O9" s="3"/>
    </row>
    <row r="10" spans="1:15" ht="15.75">
      <c r="A10" s="242" t="s">
        <v>204</v>
      </c>
      <c r="B10" s="243">
        <f>K4*(1+B9)^10</f>
        <v>273.93141450914874</v>
      </c>
      <c r="C10" s="244"/>
      <c r="D10" s="3"/>
      <c r="E10" s="3"/>
      <c r="F10" s="3"/>
      <c r="G10" s="3"/>
      <c r="H10" s="3"/>
      <c r="I10" s="3"/>
      <c r="J10" s="3"/>
      <c r="K10" s="3"/>
      <c r="L10" s="3"/>
      <c r="M10" s="3"/>
      <c r="N10" s="3"/>
      <c r="O10" s="3"/>
    </row>
    <row r="11" spans="1:15" ht="15.75">
      <c r="A11" s="242" t="s">
        <v>205</v>
      </c>
      <c r="B11" s="245">
        <v>22.18</v>
      </c>
      <c r="C11" s="3"/>
      <c r="D11" s="3"/>
      <c r="E11" s="3"/>
      <c r="F11" s="3"/>
      <c r="G11" s="3"/>
      <c r="H11" s="3"/>
      <c r="I11" s="3"/>
      <c r="J11" s="3"/>
      <c r="K11" s="3"/>
      <c r="L11" s="3"/>
      <c r="M11" s="3"/>
      <c r="N11" s="3"/>
      <c r="O11" s="3"/>
    </row>
    <row r="12" spans="1:15" ht="15.75">
      <c r="A12" s="242" t="s">
        <v>206</v>
      </c>
      <c r="B12" s="243">
        <f>B10*20</f>
        <v>5478.6282901829745</v>
      </c>
      <c r="C12" s="3"/>
      <c r="D12" s="3"/>
      <c r="E12" s="3"/>
      <c r="F12" s="3"/>
      <c r="G12" s="3"/>
      <c r="H12" s="3"/>
      <c r="I12" s="3"/>
      <c r="J12" s="3"/>
      <c r="K12" s="3"/>
      <c r="L12" s="3"/>
      <c r="M12" s="3"/>
      <c r="N12" s="3"/>
      <c r="O12" s="3"/>
    </row>
    <row r="13" spans="1:15" ht="15.75">
      <c r="A13" s="242" t="s">
        <v>207</v>
      </c>
      <c r="B13" s="246">
        <f>'First Page'!B14</f>
        <v>2650</v>
      </c>
      <c r="C13" s="3"/>
      <c r="D13" s="3"/>
      <c r="E13" s="3"/>
      <c r="F13" s="3"/>
      <c r="G13" s="3"/>
      <c r="H13" s="3"/>
      <c r="I13" s="3"/>
      <c r="J13" s="3"/>
      <c r="K13" s="3"/>
      <c r="L13" s="3"/>
      <c r="M13" s="3"/>
      <c r="N13" s="3"/>
      <c r="O13" s="3"/>
    </row>
    <row r="14" spans="1:15" ht="16.5" thickBot="1">
      <c r="A14" s="247" t="s">
        <v>208</v>
      </c>
      <c r="B14" s="248">
        <f>(B12/B13)^(1/10)-1</f>
        <v>7.5332065222410982E-2</v>
      </c>
      <c r="C14" s="3"/>
      <c r="D14" s="3"/>
      <c r="E14" s="3"/>
      <c r="F14" s="3"/>
      <c r="G14" s="3"/>
      <c r="H14" s="3"/>
      <c r="I14" s="3"/>
      <c r="J14" s="3"/>
      <c r="K14" s="3"/>
      <c r="L14" s="3"/>
      <c r="M14" s="3"/>
      <c r="N14" s="3"/>
      <c r="O14" s="3"/>
    </row>
    <row r="15" spans="1:15" ht="15.75">
      <c r="A15" s="3"/>
      <c r="B15" s="3"/>
      <c r="C15" s="3"/>
      <c r="D15" s="3"/>
      <c r="E15" s="3"/>
      <c r="F15" s="3"/>
      <c r="G15" s="3"/>
      <c r="H15" s="3"/>
      <c r="I15" s="3"/>
      <c r="J15" s="3"/>
      <c r="K15" s="3"/>
      <c r="L15" s="3"/>
      <c r="M15" s="3"/>
      <c r="N15" s="3"/>
      <c r="O15" s="3"/>
    </row>
    <row r="16" spans="1:15" ht="15.75">
      <c r="A16" s="249" t="s">
        <v>210</v>
      </c>
    </row>
  </sheetData>
  <hyperlinks>
    <hyperlink ref="A16" r:id="rId1" display="See the explanation of this model here"/>
  </hyperlinks>
  <pageMargins left="0.7" right="0.7" top="0.75" bottom="0.75" header="0.3" footer="0.3"/>
  <pageSetup paperSize="9" orientation="portrait" horizontalDpi="30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First Page</vt:lpstr>
      <vt:lpstr>Checklist</vt:lpstr>
      <vt:lpstr>Balance Sheet</vt:lpstr>
      <vt:lpstr>P &amp; L Account</vt:lpstr>
      <vt:lpstr>Cash Flow</vt:lpstr>
      <vt:lpstr>Ratios</vt:lpstr>
      <vt:lpstr>DCF</vt:lpstr>
      <vt:lpstr>Fair Value</vt:lpstr>
      <vt:lpstr>Expected Return Model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Vishal</dc:creator>
  <cp:lastModifiedBy>admin</cp:lastModifiedBy>
  <dcterms:created xsi:type="dcterms:W3CDTF">2011-11-07T17:28:41Z</dcterms:created>
  <dcterms:modified xsi:type="dcterms:W3CDTF">2015-07-21T14:40:43Z</dcterms:modified>
</cp:coreProperties>
</file>