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0" yWindow="180" windowWidth="20730" windowHeight="10095"/>
  </bookViews>
  <sheets>
    <sheet name="First Page" sheetId="22" r:id="rId1"/>
    <sheet name="Checklist" sheetId="20" r:id="rId2"/>
    <sheet name="Balance Sheet" sheetId="10" r:id="rId3"/>
    <sheet name="P &amp; L Account" sheetId="15" r:id="rId4"/>
    <sheet name="Cash Flow" sheetId="17" r:id="rId5"/>
    <sheet name="Ratios" sheetId="14" r:id="rId6"/>
    <sheet name="DCF" sheetId="2" r:id="rId7"/>
    <sheet name="Buffett Valuation" sheetId="21" r:id="rId8"/>
    <sheet name="Fair Value" sheetId="1" r:id="rId9"/>
  </sheets>
  <externalReferences>
    <externalReference r:id="rId10"/>
  </externalReferences>
  <definedNames>
    <definedName name="discount">'[1]DCF Valuation'!$N$13:$N$16</definedName>
    <definedName name="Ticker">[1]Data!$A$2</definedName>
  </definedNames>
  <calcPr calcId="125725" iterateDelta="1E-4"/>
</workbook>
</file>

<file path=xl/calcChain.xml><?xml version="1.0" encoding="utf-8"?>
<calcChain xmlns="http://schemas.openxmlformats.org/spreadsheetml/2006/main">
  <c r="B17" i="1"/>
  <c r="B16"/>
  <c r="D16" i="2"/>
  <c r="B16" i="22" l="1"/>
  <c r="B12" i="2" l="1"/>
  <c r="C7" i="21"/>
  <c r="B24" i="1"/>
  <c r="F30" i="21"/>
  <c r="F29"/>
  <c r="F28"/>
  <c r="F27"/>
  <c r="F26"/>
  <c r="F25"/>
  <c r="F24"/>
  <c r="F23"/>
  <c r="F22"/>
  <c r="F21"/>
  <c r="E30"/>
  <c r="E29"/>
  <c r="E28"/>
  <c r="E27"/>
  <c r="E26"/>
  <c r="E25"/>
  <c r="E24"/>
  <c r="E23"/>
  <c r="E22"/>
  <c r="E21"/>
  <c r="B13" i="2"/>
  <c r="K6" i="17"/>
  <c r="B5" i="2" s="1"/>
  <c r="J6" i="17"/>
  <c r="I6"/>
  <c r="H6"/>
  <c r="G6"/>
  <c r="F6"/>
  <c r="E6"/>
  <c r="D6"/>
  <c r="C6"/>
  <c r="B6"/>
  <c r="C22" i="10"/>
  <c r="D22" s="1"/>
  <c r="E22" s="1"/>
  <c r="F22" s="1"/>
  <c r="G22" s="1"/>
  <c r="H22" s="1"/>
  <c r="I22" s="1"/>
  <c r="J22" s="1"/>
  <c r="K22" s="1"/>
  <c r="K23"/>
  <c r="K25"/>
  <c r="C23"/>
  <c r="D23" s="1"/>
  <c r="E23" s="1"/>
  <c r="F23" s="1"/>
  <c r="G23" s="1"/>
  <c r="H23" s="1"/>
  <c r="I23" s="1"/>
  <c r="J23" s="1"/>
  <c r="C25"/>
  <c r="D25" s="1"/>
  <c r="E25" s="1"/>
  <c r="F25" s="1"/>
  <c r="G25" s="1"/>
  <c r="H25" s="1"/>
  <c r="I25" s="1"/>
  <c r="J25" s="1"/>
  <c r="C4" i="21" l="1"/>
  <c r="E34"/>
  <c r="K15" i="15"/>
  <c r="F35" i="21"/>
  <c r="E35"/>
  <c r="F34"/>
  <c r="K11" i="14" l="1"/>
  <c r="K9" i="17"/>
  <c r="L4" i="15"/>
  <c r="B22" i="22" s="1"/>
  <c r="J35" i="14"/>
  <c r="F35"/>
  <c r="E35"/>
  <c r="D35"/>
  <c r="C35"/>
  <c r="B35"/>
  <c r="J9" i="17"/>
  <c r="I9"/>
  <c r="H9"/>
  <c r="G9"/>
  <c r="F9"/>
  <c r="E9"/>
  <c r="D9"/>
  <c r="C9"/>
  <c r="B9"/>
  <c r="K35" i="14"/>
  <c r="I35" l="1"/>
  <c r="G35"/>
  <c r="H35"/>
  <c r="J25" l="1"/>
  <c r="I25"/>
  <c r="H25"/>
  <c r="G25"/>
  <c r="F25"/>
  <c r="E25"/>
  <c r="D25"/>
  <c r="C25"/>
  <c r="B25"/>
  <c r="J24"/>
  <c r="I24"/>
  <c r="H24"/>
  <c r="G24"/>
  <c r="F24"/>
  <c r="E24"/>
  <c r="D24"/>
  <c r="C24"/>
  <c r="B24"/>
  <c r="J23"/>
  <c r="I23"/>
  <c r="H23"/>
  <c r="G23"/>
  <c r="F23"/>
  <c r="E23"/>
  <c r="D23"/>
  <c r="C23"/>
  <c r="B23"/>
  <c r="K25"/>
  <c r="K24"/>
  <c r="K23"/>
  <c r="K21" i="10" l="1"/>
  <c r="J21"/>
  <c r="I21"/>
  <c r="H21"/>
  <c r="G21"/>
  <c r="F21"/>
  <c r="E21"/>
  <c r="D21"/>
  <c r="C21"/>
  <c r="K27"/>
  <c r="J27"/>
  <c r="I27"/>
  <c r="H27"/>
  <c r="G27"/>
  <c r="F27"/>
  <c r="E27"/>
  <c r="D27"/>
  <c r="C27"/>
  <c r="B27"/>
  <c r="K14"/>
  <c r="J14"/>
  <c r="I14"/>
  <c r="H14"/>
  <c r="G14"/>
  <c r="F14"/>
  <c r="E14"/>
  <c r="D14"/>
  <c r="C14"/>
  <c r="B14"/>
  <c r="K20" i="14" l="1"/>
  <c r="K36"/>
  <c r="K37"/>
  <c r="J20"/>
  <c r="J37"/>
  <c r="J36"/>
  <c r="I37"/>
  <c r="I20"/>
  <c r="I36"/>
  <c r="H20"/>
  <c r="H37"/>
  <c r="H36"/>
  <c r="G37"/>
  <c r="G20"/>
  <c r="G36"/>
  <c r="F20"/>
  <c r="F37"/>
  <c r="F36"/>
  <c r="E37"/>
  <c r="E36"/>
  <c r="E20"/>
  <c r="D20"/>
  <c r="D37"/>
  <c r="D36"/>
  <c r="C37"/>
  <c r="C20"/>
  <c r="C36"/>
  <c r="B20"/>
  <c r="B37"/>
  <c r="B36"/>
  <c r="J28"/>
  <c r="I28"/>
  <c r="H28"/>
  <c r="G28"/>
  <c r="F28"/>
  <c r="E28"/>
  <c r="D28"/>
  <c r="C28"/>
  <c r="K28"/>
  <c r="K14" i="15"/>
  <c r="K31"/>
  <c r="K7" i="14" s="1"/>
  <c r="K16" i="15" l="1"/>
  <c r="J11" i="14"/>
  <c r="J15" i="15"/>
  <c r="I31"/>
  <c r="K19"/>
  <c r="J31"/>
  <c r="J14"/>
  <c r="J16" s="1"/>
  <c r="H31"/>
  <c r="K12" i="14"/>
  <c r="J7" l="1"/>
  <c r="C29" i="21" s="1"/>
  <c r="H7" i="14"/>
  <c r="C27" i="21" s="1"/>
  <c r="I7" i="14"/>
  <c r="C28" i="21" s="1"/>
  <c r="K13" i="14"/>
  <c r="K22" i="15"/>
  <c r="C30" i="21"/>
  <c r="C9"/>
  <c r="C13" s="1"/>
  <c r="I14" i="15"/>
  <c r="I16" s="1"/>
  <c r="J29" i="14" s="1"/>
  <c r="I15" i="15"/>
  <c r="J12" i="14"/>
  <c r="J19" i="15"/>
  <c r="J22" s="1"/>
  <c r="K38" i="14"/>
  <c r="H15" i="15"/>
  <c r="I11" i="14"/>
  <c r="K29"/>
  <c r="G31" i="15"/>
  <c r="G7" i="14" l="1"/>
  <c r="C26" i="21" s="1"/>
  <c r="I19" i="15"/>
  <c r="J30" i="14" s="1"/>
  <c r="I12"/>
  <c r="K30"/>
  <c r="J24" i="15"/>
  <c r="J6" i="14"/>
  <c r="J18" s="1"/>
  <c r="J38"/>
  <c r="J13"/>
  <c r="K24" i="15"/>
  <c r="K27" s="1"/>
  <c r="K6" i="14"/>
  <c r="G15" i="15"/>
  <c r="H11" i="14"/>
  <c r="H14" i="15"/>
  <c r="H16" s="1"/>
  <c r="F31"/>
  <c r="F7" i="14" l="1"/>
  <c r="C25" i="21" s="1"/>
  <c r="C35" s="1"/>
  <c r="K28" i="15"/>
  <c r="K4" i="14" s="1"/>
  <c r="I38"/>
  <c r="I22" i="15"/>
  <c r="J27"/>
  <c r="J28" s="1"/>
  <c r="J4" i="14" s="1"/>
  <c r="I13"/>
  <c r="I24" i="15"/>
  <c r="J8" i="14"/>
  <c r="K18"/>
  <c r="F15" i="15"/>
  <c r="G11" i="14"/>
  <c r="G14" i="15"/>
  <c r="G16" s="1"/>
  <c r="H12" i="14"/>
  <c r="I29"/>
  <c r="H19" i="15"/>
  <c r="H22" s="1"/>
  <c r="E31"/>
  <c r="E7" i="14" l="1"/>
  <c r="C24" i="21" s="1"/>
  <c r="B29"/>
  <c r="J14" i="14"/>
  <c r="J4" i="1"/>
  <c r="J8" s="1"/>
  <c r="I27" i="15"/>
  <c r="I28" s="1"/>
  <c r="I4" i="14" s="1"/>
  <c r="I6"/>
  <c r="I18" s="1"/>
  <c r="K4" i="1"/>
  <c r="B30" i="21"/>
  <c r="H29" i="14"/>
  <c r="I30"/>
  <c r="H38"/>
  <c r="H13"/>
  <c r="E15" i="15"/>
  <c r="F11" i="14"/>
  <c r="F14" i="15"/>
  <c r="F16" s="1"/>
  <c r="C8" i="21"/>
  <c r="K8" i="14"/>
  <c r="K14"/>
  <c r="K31"/>
  <c r="I14"/>
  <c r="I8"/>
  <c r="G12"/>
  <c r="G19" i="15"/>
  <c r="G22" s="1"/>
  <c r="D31"/>
  <c r="C23" i="21" l="1"/>
  <c r="D7" i="14"/>
  <c r="J29" i="21"/>
  <c r="H29"/>
  <c r="G29"/>
  <c r="J6" i="1"/>
  <c r="J9" s="1"/>
  <c r="J31" i="14"/>
  <c r="K8" i="1"/>
  <c r="B14"/>
  <c r="B28" i="21"/>
  <c r="H28" s="1"/>
  <c r="I4" i="1"/>
  <c r="K6"/>
  <c r="K9" s="1"/>
  <c r="B39" i="21"/>
  <c r="C11"/>
  <c r="C12"/>
  <c r="J30"/>
  <c r="H30"/>
  <c r="G30"/>
  <c r="G29" i="14"/>
  <c r="G38"/>
  <c r="G13"/>
  <c r="F19" i="15"/>
  <c r="F22" s="1"/>
  <c r="F12" i="14"/>
  <c r="H24" i="15"/>
  <c r="H6" i="14"/>
  <c r="H18" s="1"/>
  <c r="D15" i="15"/>
  <c r="E11" i="14"/>
  <c r="E14" i="15"/>
  <c r="E16" s="1"/>
  <c r="H30" i="14"/>
  <c r="C31" i="15"/>
  <c r="B31"/>
  <c r="B7" i="14" s="1"/>
  <c r="K7" i="10"/>
  <c r="I7"/>
  <c r="I5" i="14" s="1"/>
  <c r="H7" i="10"/>
  <c r="H5" i="14" s="1"/>
  <c r="G7" i="10"/>
  <c r="G5" i="14" s="1"/>
  <c r="F7" i="10"/>
  <c r="F5" i="14" s="1"/>
  <c r="E7" i="10"/>
  <c r="E5" i="14" s="1"/>
  <c r="D7" i="10"/>
  <c r="D5" i="14" s="1"/>
  <c r="B7" i="10"/>
  <c r="B5" i="14" s="1"/>
  <c r="C7" i="10"/>
  <c r="C5" i="14" s="1"/>
  <c r="J7" i="10"/>
  <c r="C22" i="21" l="1"/>
  <c r="C7" i="14"/>
  <c r="I17"/>
  <c r="J5"/>
  <c r="D29" i="21" s="1"/>
  <c r="I29" s="1"/>
  <c r="J17" i="14"/>
  <c r="K5"/>
  <c r="K17"/>
  <c r="G28" i="21"/>
  <c r="J28"/>
  <c r="I6" i="1"/>
  <c r="B12"/>
  <c r="H27" i="15"/>
  <c r="H28" s="1"/>
  <c r="H4" i="14" s="1"/>
  <c r="I8" i="1"/>
  <c r="K34" i="14"/>
  <c r="K19"/>
  <c r="C15" i="15"/>
  <c r="D11" i="14"/>
  <c r="D14" i="15"/>
  <c r="D16" s="1"/>
  <c r="G24"/>
  <c r="G6" i="14"/>
  <c r="G18" s="1"/>
  <c r="C21" i="21"/>
  <c r="C34" s="1"/>
  <c r="L31" i="15"/>
  <c r="E19"/>
  <c r="E12" i="14"/>
  <c r="F38"/>
  <c r="F13"/>
  <c r="F29"/>
  <c r="G30"/>
  <c r="D22" i="21"/>
  <c r="C34" i="14"/>
  <c r="D23" i="21"/>
  <c r="D34" i="14"/>
  <c r="D25" i="21"/>
  <c r="F34" i="14"/>
  <c r="H19"/>
  <c r="D27" i="21"/>
  <c r="H34" i="14"/>
  <c r="D21" i="21"/>
  <c r="B34" i="14"/>
  <c r="D24" i="21"/>
  <c r="E34" i="14"/>
  <c r="D26" i="21"/>
  <c r="G34" i="14"/>
  <c r="I19"/>
  <c r="D28" i="21"/>
  <c r="I28" s="1"/>
  <c r="I34" i="14"/>
  <c r="J19"/>
  <c r="J34"/>
  <c r="H8" l="1"/>
  <c r="B25" i="22"/>
  <c r="F30" i="14"/>
  <c r="E22" i="15"/>
  <c r="H17" i="14"/>
  <c r="I9" i="1"/>
  <c r="H4"/>
  <c r="H6" s="1"/>
  <c r="B27" i="21"/>
  <c r="H27" s="1"/>
  <c r="G27" i="15"/>
  <c r="G28" s="1"/>
  <c r="G4" i="14" s="1"/>
  <c r="H14"/>
  <c r="I31"/>
  <c r="H8" i="1"/>
  <c r="D30" i="21"/>
  <c r="D34" s="1"/>
  <c r="C10"/>
  <c r="G19" i="14"/>
  <c r="E29"/>
  <c r="B15" i="15"/>
  <c r="L15" s="1"/>
  <c r="B23" i="22" s="1"/>
  <c r="C11" i="14"/>
  <c r="C14" i="15"/>
  <c r="C16" s="1"/>
  <c r="D29" i="14" s="1"/>
  <c r="F24" i="15"/>
  <c r="F6" i="14"/>
  <c r="E38"/>
  <c r="E13"/>
  <c r="G14"/>
  <c r="H31"/>
  <c r="D19" i="15"/>
  <c r="D12" i="14"/>
  <c r="B32" i="2"/>
  <c r="C25"/>
  <c r="C24"/>
  <c r="C23"/>
  <c r="C22"/>
  <c r="C21"/>
  <c r="C20"/>
  <c r="C19"/>
  <c r="C18"/>
  <c r="C17"/>
  <c r="C16"/>
  <c r="B16" s="1"/>
  <c r="I27" i="21" l="1"/>
  <c r="J27"/>
  <c r="E30" i="14"/>
  <c r="D22" i="15"/>
  <c r="B26" i="21"/>
  <c r="G17" i="14"/>
  <c r="G4" i="1"/>
  <c r="G8" s="1"/>
  <c r="F27" i="15"/>
  <c r="F28" s="1"/>
  <c r="F4" i="14" s="1"/>
  <c r="G8"/>
  <c r="G27" i="21"/>
  <c r="H9" i="1"/>
  <c r="C14" i="21"/>
  <c r="B53"/>
  <c r="D35"/>
  <c r="I30"/>
  <c r="F18" i="14"/>
  <c r="F19"/>
  <c r="B11"/>
  <c r="B14" i="15"/>
  <c r="D13" i="14"/>
  <c r="D38"/>
  <c r="E6"/>
  <c r="E24" i="15"/>
  <c r="C12" i="14"/>
  <c r="C19" i="15"/>
  <c r="C22" s="1"/>
  <c r="B17" i="2"/>
  <c r="D17" s="1"/>
  <c r="F8" i="14" l="1"/>
  <c r="B16" i="15"/>
  <c r="L14"/>
  <c r="F14" i="14"/>
  <c r="G6" i="1"/>
  <c r="I26" i="21"/>
  <c r="H26"/>
  <c r="J26"/>
  <c r="F17" i="14"/>
  <c r="F4" i="1"/>
  <c r="F6" s="1"/>
  <c r="B25" i="21"/>
  <c r="H25" s="1"/>
  <c r="E27" i="15"/>
  <c r="E28" s="1"/>
  <c r="E4" i="14" s="1"/>
  <c r="G31"/>
  <c r="G26" i="21"/>
  <c r="B35"/>
  <c r="F8" i="1"/>
  <c r="G9"/>
  <c r="L16" i="15"/>
  <c r="B19"/>
  <c r="B12" i="14"/>
  <c r="C38"/>
  <c r="C13"/>
  <c r="E18"/>
  <c r="E19"/>
  <c r="D30"/>
  <c r="D24" i="15"/>
  <c r="D6" i="14"/>
  <c r="C29"/>
  <c r="B18" i="2"/>
  <c r="D18" s="1"/>
  <c r="E8" i="14" l="1"/>
  <c r="I25" i="21"/>
  <c r="C30" i="14"/>
  <c r="B22" i="15"/>
  <c r="B24" i="21"/>
  <c r="E17" i="14"/>
  <c r="G25" i="21"/>
  <c r="E4" i="1"/>
  <c r="E6" s="1"/>
  <c r="D27" i="15"/>
  <c r="D28" s="1"/>
  <c r="D4" i="14" s="1"/>
  <c r="F31"/>
  <c r="E14"/>
  <c r="J25" i="21"/>
  <c r="F9" i="1"/>
  <c r="C6" i="14"/>
  <c r="C24" i="15"/>
  <c r="D18" i="14"/>
  <c r="D19"/>
  <c r="D14"/>
  <c r="L19" i="15"/>
  <c r="B13" i="14"/>
  <c r="B38"/>
  <c r="B19" i="2"/>
  <c r="D19" s="1"/>
  <c r="H24" i="21" l="1"/>
  <c r="J24"/>
  <c r="G24"/>
  <c r="I24"/>
  <c r="D17" i="14"/>
  <c r="E8" i="1"/>
  <c r="E9" s="1"/>
  <c r="D4"/>
  <c r="D6" s="1"/>
  <c r="B23" i="21"/>
  <c r="G23" s="1"/>
  <c r="C27" i="15"/>
  <c r="C28" s="1"/>
  <c r="C4" i="14" s="1"/>
  <c r="D8"/>
  <c r="E31"/>
  <c r="J23" i="21"/>
  <c r="D8" i="1"/>
  <c r="L22" i="15"/>
  <c r="B24"/>
  <c r="B27" s="1"/>
  <c r="B6" i="14"/>
  <c r="C8"/>
  <c r="D31"/>
  <c r="C18"/>
  <c r="C19"/>
  <c r="B20" i="2"/>
  <c r="D20" s="1"/>
  <c r="B17" i="14" l="1"/>
  <c r="B28" i="15"/>
  <c r="B4" i="14" s="1"/>
  <c r="H23" i="21"/>
  <c r="B22"/>
  <c r="C17" i="14"/>
  <c r="B26" i="22" s="1"/>
  <c r="C4" i="1"/>
  <c r="C8" s="1"/>
  <c r="C14" i="14"/>
  <c r="I23" i="21"/>
  <c r="D9" i="1"/>
  <c r="C6"/>
  <c r="B19" i="14"/>
  <c r="B18"/>
  <c r="L24" i="15"/>
  <c r="B21" i="2"/>
  <c r="D21" s="1"/>
  <c r="H22" i="21" l="1"/>
  <c r="J22"/>
  <c r="I22"/>
  <c r="G22"/>
  <c r="B21"/>
  <c r="B4" i="1"/>
  <c r="C9"/>
  <c r="L27" i="15"/>
  <c r="B24" i="22" s="1"/>
  <c r="B8" i="14"/>
  <c r="B14"/>
  <c r="C31"/>
  <c r="B22" i="2"/>
  <c r="D22" s="1"/>
  <c r="B8" i="1" l="1"/>
  <c r="B6"/>
  <c r="H21" i="21"/>
  <c r="H10" s="1"/>
  <c r="J21"/>
  <c r="H8" s="1"/>
  <c r="C39" s="1"/>
  <c r="G21"/>
  <c r="H9" s="1"/>
  <c r="B34"/>
  <c r="B40" s="1"/>
  <c r="I21"/>
  <c r="H7" s="1"/>
  <c r="B23" i="2"/>
  <c r="D23" s="1"/>
  <c r="H12" i="21" l="1"/>
  <c r="H11"/>
  <c r="B9" i="1"/>
  <c r="B13" s="1"/>
  <c r="C53" i="21"/>
  <c r="D53" s="1"/>
  <c r="B54" s="1"/>
  <c r="C54" s="1"/>
  <c r="D54" s="1"/>
  <c r="B55" s="1"/>
  <c r="B41"/>
  <c r="C40"/>
  <c r="B24" i="2"/>
  <c r="D24" s="1"/>
  <c r="B42" i="21" l="1"/>
  <c r="C41"/>
  <c r="C55"/>
  <c r="D55" s="1"/>
  <c r="B25" i="2"/>
  <c r="D25" s="1"/>
  <c r="B56" i="21" l="1"/>
  <c r="C56" s="1"/>
  <c r="D56" s="1"/>
  <c r="C42"/>
  <c r="B43"/>
  <c r="B29" i="2"/>
  <c r="B28"/>
  <c r="B30" s="1"/>
  <c r="C43" i="21" l="1"/>
  <c r="B44"/>
  <c r="B57"/>
  <c r="B31" i="2"/>
  <c r="B33" s="1"/>
  <c r="B15" i="1" s="1"/>
  <c r="C57" i="21" l="1"/>
  <c r="D57" s="1"/>
  <c r="B45"/>
  <c r="C44"/>
  <c r="C45" l="1"/>
  <c r="B46"/>
  <c r="B58"/>
  <c r="B21" i="10"/>
  <c r="C58" i="21" l="1"/>
  <c r="D58" s="1"/>
  <c r="C46"/>
  <c r="B47"/>
  <c r="C47" l="1"/>
  <c r="B48"/>
  <c r="B59"/>
  <c r="C59" l="1"/>
  <c r="D59" s="1"/>
  <c r="B49"/>
  <c r="C48"/>
  <c r="C49" l="1"/>
  <c r="E40" s="1"/>
  <c r="E39"/>
  <c r="E42" s="1"/>
  <c r="B60"/>
  <c r="C60" l="1"/>
  <c r="D60" s="1"/>
  <c r="E43"/>
  <c r="E45" s="1"/>
  <c r="B61" l="1"/>
  <c r="C61" l="1"/>
  <c r="D61" s="1"/>
  <c r="B62" l="1"/>
  <c r="C62" l="1"/>
  <c r="D62" s="1"/>
  <c r="B63" l="1"/>
  <c r="C63" s="1"/>
  <c r="E53" l="1"/>
  <c r="E56" s="1"/>
  <c r="B21" i="1" s="1"/>
  <c r="D63" i="21"/>
  <c r="E54" s="1"/>
  <c r="E57" l="1"/>
  <c r="E59" s="1"/>
  <c r="B20" i="1" l="1"/>
  <c r="B23" s="1"/>
  <c r="B25" l="1"/>
</calcChain>
</file>

<file path=xl/comments1.xml><?xml version="1.0" encoding="utf-8"?>
<comments xmlns="http://schemas.openxmlformats.org/spreadsheetml/2006/main">
  <authors>
    <author>Safal Niveshak</author>
  </authors>
  <commentList>
    <comment ref="A12" authorId="0">
      <text>
        <r>
          <rPr>
            <b/>
            <sz val="9"/>
            <color indexed="81"/>
            <rFont val="Tahoma"/>
            <family val="2"/>
          </rPr>
          <t xml:space="preserve">Safal Niveshak: </t>
        </r>
        <r>
          <rPr>
            <sz val="9"/>
            <color indexed="81"/>
            <rFont val="Tahoma"/>
            <family val="2"/>
          </rPr>
          <t xml:space="preserve">Don't go beyond this sheet if you don't understand the business.
</t>
        </r>
      </text>
    </comment>
    <comment ref="A17" authorId="0">
      <text>
        <r>
          <rPr>
            <b/>
            <sz val="9"/>
            <color indexed="81"/>
            <rFont val="Tahoma"/>
            <family val="2"/>
          </rPr>
          <t xml:space="preserve">Safal Niveshak: </t>
        </r>
        <r>
          <rPr>
            <sz val="9"/>
            <color indexed="81"/>
            <rFont val="Tahoma"/>
            <family val="2"/>
          </rPr>
          <t xml:space="preserve">Shareholding can be found on BSE's website.
</t>
        </r>
      </text>
    </comment>
  </commentList>
</comments>
</file>

<file path=xl/comments2.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3.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4.xml><?xml version="1.0" encoding="utf-8"?>
<comments xmlns="http://schemas.openxmlformats.org/spreadsheetml/2006/main">
  <authors>
    <author>Vishal</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List>
</comments>
</file>

<file path=xl/comments5.xml><?xml version="1.0" encoding="utf-8"?>
<comments xmlns="http://schemas.openxmlformats.org/spreadsheetml/2006/main">
  <authors>
    <author>Safal Niveshak</author>
    <author>Vishal</author>
  </authors>
  <commentList>
    <comment ref="A4" authorId="0">
      <text>
        <r>
          <rPr>
            <b/>
            <sz val="9"/>
            <color indexed="81"/>
            <rFont val="Tahoma"/>
            <family val="2"/>
          </rPr>
          <t xml:space="preserve">Safal Niveshak: </t>
        </r>
        <r>
          <rPr>
            <sz val="9"/>
            <color indexed="81"/>
            <rFont val="Tahoma"/>
            <family val="2"/>
          </rPr>
          <t>"Diluted" means using the latest number of shares that reflects all bonus, stock splits, and new stock issuances of the past.</t>
        </r>
      </text>
    </comment>
    <comment ref="A8" authorId="0">
      <text>
        <r>
          <rPr>
            <b/>
            <sz val="9"/>
            <color indexed="81"/>
            <rFont val="Tahoma"/>
            <family val="2"/>
          </rPr>
          <t>Safal Niveshak:</t>
        </r>
        <r>
          <rPr>
            <sz val="9"/>
            <color indexed="81"/>
            <rFont val="Tahoma"/>
            <family val="2"/>
          </rPr>
          <t xml:space="preserve"> Dividend payout reflects how much of its annual profits does the company pays away as dividends. So the formula is:
</t>
        </r>
        <r>
          <rPr>
            <b/>
            <sz val="9"/>
            <color indexed="81"/>
            <rFont val="Tahoma"/>
            <family val="2"/>
          </rPr>
          <t xml:space="preserve">
Div. Payout = Divided Paid / Net Profit or Profit after Tax</t>
        </r>
        <r>
          <rPr>
            <sz val="9"/>
            <color indexed="81"/>
            <rFont val="Tahoma"/>
            <family val="2"/>
          </rPr>
          <t xml:space="preserve">
</t>
        </r>
      </text>
    </comment>
    <comment ref="A11" authorId="0">
      <text>
        <r>
          <rPr>
            <b/>
            <sz val="9"/>
            <color indexed="81"/>
            <rFont val="Tahoma"/>
            <family val="2"/>
          </rPr>
          <t xml:space="preserve">Safal Niveshak: </t>
        </r>
        <r>
          <rPr>
            <sz val="9"/>
            <color indexed="81"/>
            <rFont val="Tahoma"/>
            <family val="2"/>
          </rPr>
          <t>Gross profit margin represents the percent of total sales that the company retains after incurring the direct costs associated with producing the goods and services sold. The higher the percentage, the more the company retains on each rupee of sales to service its other costs and obligations.</t>
        </r>
        <r>
          <rPr>
            <b/>
            <sz val="9"/>
            <color indexed="81"/>
            <rFont val="Tahoma"/>
            <family val="2"/>
          </rPr>
          <t xml:space="preserve">
Gross Margin = (Total Sales - Cost of Goods Sold) / Total Sales
</t>
        </r>
        <r>
          <rPr>
            <sz val="9"/>
            <color indexed="81"/>
            <rFont val="Tahoma"/>
            <family val="2"/>
          </rPr>
          <t>For a company, the purpose of gross margins is to determine the value of incremental sales, and to guide pricing and promotion decision. For investors, higher gross margins vis-a-vis competitors means the company has pricing power, which indicates moat.</t>
        </r>
      </text>
    </comment>
    <comment ref="A12" authorId="1">
      <text>
        <r>
          <rPr>
            <b/>
            <sz val="9"/>
            <color indexed="81"/>
            <rFont val="Tahoma"/>
            <charset val="1"/>
          </rPr>
          <t xml:space="preserve">Safal Niveshak: </t>
        </r>
        <r>
          <rPr>
            <sz val="9"/>
            <color indexed="81"/>
            <rFont val="Tahoma"/>
            <family val="2"/>
          </rPr>
          <t xml:space="preserve">EBITDA stands for "Earnings Before Interest, Tax, Depreciation &amp; Amortization. EBITDA margins is also known as "Operating Margin" and measures a company's operating profitability - how must profits a company earns after paying off its operational costs and before providing for depreciation and paying interest and tax. It's good to compare this number within the industry.
</t>
        </r>
      </text>
    </comment>
    <comment ref="A14" authorId="1">
      <text>
        <r>
          <rPr>
            <b/>
            <sz val="9"/>
            <color indexed="81"/>
            <rFont val="Tahoma"/>
            <family val="2"/>
          </rPr>
          <t>Safal Niveshak: Net Profit Margin = Net profit / Sales</t>
        </r>
        <r>
          <rPr>
            <sz val="9"/>
            <color indexed="81"/>
            <rFont val="Tahoma"/>
            <family val="2"/>
          </rPr>
          <t xml:space="preserve">
It measures how much out of every dollar of sales a company actually keeps in earnings.
NPM is very useful when comparing companies in similar industries. A higher profit margin indicates a more profitable company that has better control over its costs compared to its competitors.</t>
        </r>
      </text>
    </comment>
    <comment ref="A18" authorId="1">
      <text>
        <r>
          <rPr>
            <b/>
            <sz val="9"/>
            <color indexed="81"/>
            <rFont val="Tahoma"/>
            <family val="2"/>
          </rPr>
          <t xml:space="preserve">Safal Niveshak:
ROCE  =NOPAT / Capital Employed
</t>
        </r>
        <r>
          <rPr>
            <i/>
            <sz val="9"/>
            <color indexed="81"/>
            <rFont val="Tahoma"/>
            <family val="2"/>
          </rPr>
          <t>NOPAT = EBIT * (1-Tax)
Capital Employed = Fixed Assets + Working Capital</t>
        </r>
      </text>
    </comment>
    <comment ref="A19" authorId="1">
      <text>
        <r>
          <rPr>
            <b/>
            <sz val="9"/>
            <color indexed="81"/>
            <rFont val="Tahoma"/>
            <family val="2"/>
          </rPr>
          <t xml:space="preserve">Safal Niveshak: </t>
        </r>
        <r>
          <rPr>
            <sz val="9"/>
            <color indexed="81"/>
            <rFont val="Tahoma"/>
            <family val="2"/>
          </rPr>
          <t>ROIC is used to assess a company's efficiency at allocating the capital under its control to profitable investments. It gives a sense of how well a company is using its money to generate returns.</t>
        </r>
      </text>
    </comment>
    <comment ref="A20" authorId="1">
      <text>
        <r>
          <rPr>
            <b/>
            <sz val="9"/>
            <color indexed="81"/>
            <rFont val="Tahoma"/>
            <family val="2"/>
          </rPr>
          <t xml:space="preserve">Safal Niveshak: </t>
        </r>
        <r>
          <rPr>
            <sz val="9"/>
            <color indexed="81"/>
            <rFont val="Tahoma"/>
            <family val="2"/>
          </rPr>
          <t>Also known as "Working Capital Turnover Ratio", it measures how much of sales is generated for every rupee of working capital employed. This provides some useful information as to how effectively a company is using its working capital to generate sales.
Working Cap. Turnover = Working Capital / Sales
Working Capital = Current Assets / Current Liabilities
In general, the higher the working capital turnover, the better because it means that the company is generating a lot of sales compared to the money it uses to fund the sales.</t>
        </r>
      </text>
    </comment>
    <comment ref="A23" authorId="1">
      <text>
        <r>
          <rPr>
            <b/>
            <sz val="9"/>
            <color indexed="81"/>
            <rFont val="Tahoma"/>
            <family val="2"/>
          </rPr>
          <t xml:space="preserve">Safal Niveshak: </t>
        </r>
        <r>
          <rPr>
            <sz val="9"/>
            <color indexed="81"/>
            <rFont val="Tahoma"/>
            <family val="2"/>
          </rPr>
          <t xml:space="preserve">It is also known as DSO or Days Sales Outstanding, and measures the average number of days a company takes to collect money after a sale has been made. Here's a simple formula...
</t>
        </r>
        <r>
          <rPr>
            <b/>
            <sz val="9"/>
            <color indexed="81"/>
            <rFont val="Tahoma"/>
            <family val="2"/>
          </rPr>
          <t xml:space="preserve">DSO = (Trade Receivables / Sales) x 365
</t>
        </r>
        <r>
          <rPr>
            <sz val="9"/>
            <color indexed="81"/>
            <rFont val="Tahoma"/>
            <family val="2"/>
          </rPr>
          <t xml:space="preserve">
A low DSO number means that it takes a company fewer days to collect its trade receivable. A high DSO number shows that a company is selling its product to customers on credit and taking longer to collect money. 
Due to the high importance of cash in running a business, it is in a company's best interest to collect outstanding receivables as quickly as possible. By quickly turning sales into cash, a company has the chance to put the cash to use again - ideally, to reinvest and make more sales. The DSO can be used to determine whether a company is trying to disguise weak sales, or is generally being ineffective at bringing money in.</t>
        </r>
      </text>
    </comment>
    <comment ref="A24" authorId="1">
      <text>
        <r>
          <rPr>
            <b/>
            <sz val="9"/>
            <color indexed="81"/>
            <rFont val="Tahoma"/>
            <family val="2"/>
          </rPr>
          <t xml:space="preserve">Safal Niveshak: </t>
        </r>
        <r>
          <rPr>
            <sz val="9"/>
            <color indexed="81"/>
            <rFont val="Tahoma"/>
            <family val="2"/>
          </rPr>
          <t xml:space="preserve">Also known as "Days Sales of Inventory" or DSI, it measures how long it takes a company to turn its inventory (including goods that are work in progress, if applicable) into sales. Generally, the lower the DSI the better, but it is important to note that the average DSI varies from one industry to another.
</t>
        </r>
        <r>
          <rPr>
            <b/>
            <sz val="9"/>
            <color indexed="81"/>
            <rFont val="Tahoma"/>
            <family val="2"/>
          </rPr>
          <t xml:space="preserve">DSI = (Inventories / Sales) x 365
</t>
        </r>
        <r>
          <rPr>
            <sz val="9"/>
            <color indexed="81"/>
            <rFont val="Tahoma"/>
            <family val="2"/>
          </rPr>
          <t xml:space="preserve">
DSI basically represents the process of turning raw materials or finished goods into cash.</t>
        </r>
      </text>
    </comment>
    <comment ref="A25" authorId="1">
      <text>
        <r>
          <rPr>
            <b/>
            <sz val="9"/>
            <color indexed="81"/>
            <rFont val="Tahoma"/>
            <family val="2"/>
          </rPr>
          <t xml:space="preserve">Safal Niveshak: </t>
        </r>
        <r>
          <rPr>
            <sz val="9"/>
            <color indexed="81"/>
            <rFont val="Tahoma"/>
            <family val="2"/>
          </rPr>
          <t>It is also known as "Days Payable Outstanding" or DPO, and is an indicator of how long a company is taking to pay its trade creditors. The formula is…</t>
        </r>
        <r>
          <rPr>
            <b/>
            <sz val="9"/>
            <color indexed="81"/>
            <rFont val="Tahoma"/>
            <family val="2"/>
          </rPr>
          <t xml:space="preserve">
DPO = (Trade Payables / Sales) x 365</t>
        </r>
      </text>
    </comment>
    <comment ref="A36" authorId="1">
      <text>
        <r>
          <rPr>
            <b/>
            <sz val="9"/>
            <color indexed="81"/>
            <rFont val="Tahoma"/>
            <family val="2"/>
          </rPr>
          <t xml:space="preserve">Safal Niveshak: </t>
        </r>
        <r>
          <rPr>
            <sz val="9"/>
            <color indexed="81"/>
            <rFont val="Tahoma"/>
            <family val="2"/>
          </rPr>
          <t>Current Ratio measures the</t>
        </r>
        <r>
          <rPr>
            <b/>
            <sz val="9"/>
            <color indexed="81"/>
            <rFont val="Tahoma"/>
            <family val="2"/>
          </rPr>
          <t xml:space="preserve"> </t>
        </r>
        <r>
          <rPr>
            <sz val="9"/>
            <color indexed="81"/>
            <rFont val="Tahoma"/>
            <family val="2"/>
          </rPr>
          <t xml:space="preserve">liquidity of a company, or its ability to pay short-term obligations. 
</t>
        </r>
        <r>
          <rPr>
            <b/>
            <sz val="9"/>
            <color indexed="81"/>
            <rFont val="Tahoma"/>
            <family val="2"/>
          </rPr>
          <t>Current Ratio = Current Assets / Current Liabilities</t>
        </r>
        <r>
          <rPr>
            <sz val="9"/>
            <color indexed="81"/>
            <rFont val="Tahoma"/>
            <family val="2"/>
          </rPr>
          <t xml:space="preserve">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r>
      </text>
    </comment>
    <comment ref="A37" authorId="1">
      <text>
        <r>
          <rPr>
            <b/>
            <sz val="9"/>
            <color indexed="81"/>
            <rFont val="Tahoma"/>
            <family val="2"/>
          </rPr>
          <t>Safal Niveshak:</t>
        </r>
        <r>
          <rPr>
            <sz val="9"/>
            <color indexed="81"/>
            <rFont val="Tahoma"/>
            <family val="2"/>
          </rPr>
          <t xml:space="preserve"> Also known as "Acid Test Ratio", it is an indicator of a company's short-term liquidity. The quick ratio measures a company's ability to meet its short-term obligations with its most liquid assets. The higher the quick ratio, the better the position of the company.
</t>
        </r>
        <r>
          <rPr>
            <b/>
            <sz val="9"/>
            <color indexed="81"/>
            <rFont val="Tahoma"/>
            <family val="2"/>
          </rPr>
          <t xml:space="preserve">Quick Ratio = (Current Assets - Inventories) / Current Liabilities 
</t>
        </r>
        <r>
          <rPr>
            <sz val="9"/>
            <color indexed="81"/>
            <rFont val="Tahoma"/>
            <family val="2"/>
          </rPr>
          <t xml:space="preserve">
The quick ratio is a more conservative metric than current ratio because it excludes inventory from current assets. Inventory is excluded because some companies have difficulty turning their inventory into cash. In the event that short-term obligations need to be paid off immediately, there are situations in which the current ratio would overestimate a company's short-term financial strength.</t>
        </r>
      </text>
    </comment>
    <comment ref="A38" authorId="1">
      <text>
        <r>
          <rPr>
            <b/>
            <sz val="9"/>
            <color indexed="81"/>
            <rFont val="Tahoma"/>
            <family val="2"/>
          </rPr>
          <t>Safal Niveshak:</t>
        </r>
        <r>
          <rPr>
            <sz val="9"/>
            <color indexed="81"/>
            <rFont val="Tahoma"/>
            <family val="2"/>
          </rPr>
          <t xml:space="preserve"> This ratio determines how easily a company can pay interest on its outstanding debt.
</t>
        </r>
        <r>
          <rPr>
            <b/>
            <sz val="9"/>
            <color indexed="81"/>
            <rFont val="Tahoma"/>
            <family val="2"/>
          </rPr>
          <t xml:space="preserve">Interest Coverage Ratio = Earnings before interest and taxes or EBIT  / Interest expenses
</t>
        </r>
        <r>
          <rPr>
            <sz val="9"/>
            <color indexed="81"/>
            <rFont val="Tahoma"/>
            <family val="2"/>
          </rPr>
          <t xml:space="preserve">
The lower the ratio, the more the company is burdened by debt expense. When a company's interest coverage ratio is 1.5 or lower, its ability to meet interest expenses may be questionable. An interest coverage ratio below 1 indicates the company is not generating sufficient revenues to satisfy interest expenses.</t>
        </r>
      </text>
    </comment>
  </commentList>
</comments>
</file>

<file path=xl/comments6.xml><?xml version="1.0" encoding="utf-8"?>
<comments xmlns="http://schemas.openxmlformats.org/spreadsheetml/2006/main">
  <authors>
    <author>Vishal</author>
    <author>Safal Niveshak</author>
  </authors>
  <commentList>
    <comment ref="A5" authorId="0">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t>
        </r>
      </text>
    </comment>
    <comment ref="A7" author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8"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9"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10"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3" authorId="1">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7.xml><?xml version="1.0" encoding="utf-8"?>
<comments xmlns="http://schemas.openxmlformats.org/spreadsheetml/2006/main">
  <authors>
    <author>Safal Niveshak</author>
  </authors>
  <commentList>
    <comment ref="G12" authorId="0">
      <text>
        <r>
          <rPr>
            <b/>
            <sz val="9"/>
            <color indexed="81"/>
            <rFont val="Tahoma"/>
            <family val="2"/>
          </rPr>
          <t xml:space="preserve">Safal Niveshak: </t>
        </r>
        <r>
          <rPr>
            <sz val="9"/>
            <color indexed="81"/>
            <rFont val="Tahoma"/>
            <family val="2"/>
          </rPr>
          <t xml:space="preserve">Sustainable Growth is usually calculated as:
</t>
        </r>
        <r>
          <rPr>
            <b/>
            <sz val="9"/>
            <color indexed="81"/>
            <rFont val="Tahoma"/>
            <family val="2"/>
          </rPr>
          <t xml:space="preserve">(ROE * (1 - Payout Ratio))
</t>
        </r>
        <r>
          <rPr>
            <sz val="9"/>
            <color indexed="81"/>
            <rFont val="Tahoma"/>
            <family val="2"/>
          </rPr>
          <t>Here, (1 - Payout Ratio) = Profits retained by the company after paying the dividend. In the long term, a company's profit growth is sustained at its RoE levels, thus this formula.</t>
        </r>
      </text>
    </comment>
    <comment ref="B53" authorId="0">
      <text>
        <r>
          <rPr>
            <b/>
            <sz val="9"/>
            <color indexed="81"/>
            <rFont val="Tahoma"/>
            <family val="2"/>
          </rPr>
          <t>Safal Niveshak:</t>
        </r>
        <r>
          <rPr>
            <sz val="9"/>
            <color indexed="81"/>
            <rFont val="Tahoma"/>
            <family val="2"/>
          </rPr>
          <t xml:space="preserve"> This is the latest year's book value per share.
</t>
        </r>
      </text>
    </comment>
    <comment ref="D53" authorId="0">
      <text>
        <r>
          <rPr>
            <b/>
            <sz val="9"/>
            <color indexed="81"/>
            <rFont val="Tahoma"/>
            <family val="2"/>
          </rPr>
          <t xml:space="preserve">Safal Niveshak: </t>
        </r>
        <r>
          <rPr>
            <sz val="9"/>
            <color indexed="81"/>
            <rFont val="Tahoma"/>
            <family val="2"/>
          </rPr>
          <t xml:space="preserve">DPS is calculated as: EPS x Payout Ratio.
Payout ratio = DPS / EPS, or how much of a year's earnings is paid out at dividends.
</t>
        </r>
      </text>
    </comment>
    <comment ref="B54" authorId="0">
      <text>
        <r>
          <rPr>
            <b/>
            <sz val="9"/>
            <color indexed="81"/>
            <rFont val="Tahoma"/>
            <family val="2"/>
          </rPr>
          <t xml:space="preserve">Safal Niveshak: </t>
        </r>
        <r>
          <rPr>
            <sz val="9"/>
            <color indexed="81"/>
            <rFont val="Tahoma"/>
            <family val="2"/>
          </rPr>
          <t>This book value and those in subsequent years are calculated using  the formula…</t>
        </r>
        <r>
          <rPr>
            <b/>
            <sz val="9"/>
            <color indexed="81"/>
            <rFont val="Tahoma"/>
            <family val="2"/>
          </rPr>
          <t xml:space="preserve">
</t>
        </r>
        <r>
          <rPr>
            <i/>
            <sz val="9"/>
            <color indexed="81"/>
            <rFont val="Tahoma"/>
            <family val="2"/>
          </rPr>
          <t>Previous year's Book Value + Latest year's EPS - Latest year's Dividend per share</t>
        </r>
        <r>
          <rPr>
            <sz val="9"/>
            <color indexed="81"/>
            <rFont val="Tahoma"/>
            <family val="2"/>
          </rPr>
          <t xml:space="preserve">
This is because this year's shareholder's equity (book value) is simply last years equity + profits generated in this year - dividends paid in this year.</t>
        </r>
      </text>
    </comment>
  </commentList>
</comments>
</file>

<file path=xl/comments8.xml><?xml version="1.0" encoding="utf-8"?>
<comments xmlns="http://schemas.openxmlformats.org/spreadsheetml/2006/main">
  <authors>
    <author>Vishal</author>
    <author>Safal Niveshak</author>
  </authors>
  <commentList>
    <comment ref="A3" authorId="0">
      <text>
        <r>
          <rPr>
            <b/>
            <sz val="9"/>
            <color indexed="81"/>
            <rFont val="Tahoma"/>
            <family val="2"/>
          </rPr>
          <t xml:space="preserve">Safal Niveshak:
</t>
        </r>
        <r>
          <rPr>
            <sz val="9"/>
            <color indexed="81"/>
            <rFont val="Tahoma"/>
            <family val="2"/>
          </rPr>
          <t>L = Latest Year
L-1 = Previous year
…and so on</t>
        </r>
      </text>
    </comment>
    <comment ref="A5" authorId="1">
      <text>
        <r>
          <rPr>
            <b/>
            <sz val="9"/>
            <color indexed="81"/>
            <rFont val="Tahoma"/>
            <family val="2"/>
          </rPr>
          <t xml:space="preserve">Safal Niveshak: </t>
        </r>
        <r>
          <rPr>
            <sz val="9"/>
            <color indexed="81"/>
            <rFont val="Tahoma"/>
            <family val="2"/>
          </rPr>
          <t>You will get this 
number from the annual report.</t>
        </r>
      </text>
    </comment>
    <comment ref="A7" authorId="1">
      <text>
        <r>
          <rPr>
            <b/>
            <sz val="9"/>
            <color indexed="81"/>
            <rFont val="Tahoma"/>
            <family val="2"/>
          </rPr>
          <t xml:space="preserve">Safal Niveshak: </t>
        </r>
        <r>
          <rPr>
            <sz val="9"/>
            <color indexed="81"/>
            <rFont val="Tahoma"/>
            <family val="2"/>
          </rPr>
          <t xml:space="preserve">You will get this number from the annual report.
</t>
        </r>
      </text>
    </comment>
    <comment ref="A12" authorId="0">
      <text>
        <r>
          <rPr>
            <b/>
            <sz val="9"/>
            <color indexed="81"/>
            <rFont val="Tahoma"/>
            <family val="2"/>
          </rPr>
          <t xml:space="preserve">Safal Niveshak: </t>
        </r>
        <r>
          <rPr>
            <sz val="9"/>
            <color indexed="81"/>
            <rFont val="Tahoma"/>
            <family val="2"/>
          </rPr>
          <t>The Graham number or Benjamin Graham number measures a stock's fair value. Named after Benjamin Graham, the founder of value investing, the Graham Number can be calculated as follows:</t>
        </r>
        <r>
          <rPr>
            <b/>
            <sz val="9"/>
            <color indexed="81"/>
            <rFont val="Tahoma"/>
            <family val="2"/>
          </rPr>
          <t xml:space="preserve">
Graham Number = SQRT(22.5*Latest year's book value per share*Last 3 or 5 years' average earnings per share)
</t>
        </r>
        <r>
          <rPr>
            <sz val="9"/>
            <color indexed="81"/>
            <rFont val="Tahoma"/>
            <family val="2"/>
          </rPr>
          <t xml:space="preserve">
The final number is, theoretically, the maximum price that a defensive investor should pay for the given stock. Put another way, a stock priced below the Graham Number would be considered a good value, if it also meet a number of other criteria.
The complete Graham selection procedure is much more elaborate. No decision should be made based on this number alone.</t>
        </r>
      </text>
    </comment>
    <comment ref="A16" authorId="1">
      <text>
        <r>
          <rPr>
            <b/>
            <sz val="9"/>
            <color indexed="81"/>
            <rFont val="Tahoma"/>
            <charset val="1"/>
          </rPr>
          <t xml:space="preserve">Safal Niveshak: </t>
        </r>
        <r>
          <rPr>
            <sz val="9"/>
            <color indexed="81"/>
            <rFont val="Tahoma"/>
            <family val="2"/>
          </rPr>
          <t>This number is discounted to its present value.</t>
        </r>
        <r>
          <rPr>
            <sz val="9"/>
            <color indexed="81"/>
            <rFont val="Tahoma"/>
            <charset val="1"/>
          </rPr>
          <t xml:space="preserve">
</t>
        </r>
      </text>
    </comment>
    <comment ref="A17" authorId="1">
      <text>
        <r>
          <rPr>
            <b/>
            <sz val="9"/>
            <color indexed="81"/>
            <rFont val="Tahoma"/>
            <family val="2"/>
          </rPr>
          <t xml:space="preserve">Safal Niveshak: </t>
        </r>
        <r>
          <rPr>
            <sz val="9"/>
            <color indexed="81"/>
            <rFont val="Tahoma"/>
            <family val="2"/>
          </rPr>
          <t xml:space="preserve">This number is discounted to its present value.
</t>
        </r>
      </text>
    </comment>
    <comment ref="A22" authorId="0">
      <text>
        <r>
          <rPr>
            <b/>
            <sz val="9"/>
            <color indexed="81"/>
            <rFont val="Tahoma"/>
            <family val="2"/>
          </rPr>
          <t xml:space="preserve">Safal Niveshak: </t>
        </r>
        <r>
          <rPr>
            <sz val="9"/>
            <color indexed="81"/>
            <rFont val="Tahoma"/>
            <family val="2"/>
          </rPr>
          <t>Valuation is an imprecise art (yes, however smart you may think you are!). Also, the future is inherently unpredictable.
Thus, it’s important to bring in the most-important investing concept of “margin of safety” into the picture.
This is what Graham wrote about margin of safety in The Intelligent Investor…
"</t>
        </r>
        <r>
          <rPr>
            <i/>
            <sz val="9"/>
            <color indexed="81"/>
            <rFont val="Tahoma"/>
            <family val="2"/>
          </rPr>
          <t xml:space="preserve">Confronted with the challenge to distill the secret of sound investment into three words, we venture the motto, MARGIN OF SAFETY."
</t>
        </r>
        <r>
          <rPr>
            <sz val="9"/>
            <color indexed="81"/>
            <rFont val="Tahoma"/>
            <family val="2"/>
          </rPr>
          <t xml:space="preserve">
Margin of safety is simply the discount factor that you use with your intrinsic value calculation. So if you arrive at an intrinsic value of Rs 100 for a stock that trades at Rs 80, you might think that you have found a bargain.
But what if your intrinsic value calculation is wrong? Yes, it will be wrong, at least 100% of the times!
Thus, you will do yourself a world of good by buying the stock only at say 50% discount to your intrinsic value calculation, or around Rs 50.
Now when you bring your intrinsic value assumption down to Rs 50 – by giving a 50% discount to the original calculated value of Rs 100, don’t think that you are trying to be ultra-conservative.
What you are doing is providing yourself protection against:
1. Bad luck
2. Bad timing, and
3. Bad judgment.
Margin of safety was, and will always be, the bedrock of value investing. You can’t ignore this at any cost…or it will turn out to be a costly affair!</t>
        </r>
      </text>
    </comment>
    <comment ref="A23" authorId="1">
      <text>
        <r>
          <rPr>
            <b/>
            <sz val="9"/>
            <color indexed="81"/>
            <rFont val="Tahoma"/>
            <family val="2"/>
          </rPr>
          <t xml:space="preserve">Safal Niveshak: </t>
        </r>
        <r>
          <rPr>
            <sz val="9"/>
            <color indexed="81"/>
            <rFont val="Tahoma"/>
            <family val="2"/>
          </rPr>
          <t xml:space="preserve">This is the fair value or comfortable buying price of the stock after adjusting for Margin of Safety.
</t>
        </r>
      </text>
    </comment>
    <comment ref="A25" authorId="0">
      <text>
        <r>
          <rPr>
            <b/>
            <sz val="9"/>
            <color indexed="81"/>
            <rFont val="Tahoma"/>
            <family val="2"/>
          </rPr>
          <t xml:space="preserve">Safal Niveshak: </t>
        </r>
        <r>
          <rPr>
            <sz val="9"/>
            <color indexed="81"/>
            <rFont val="Tahoma"/>
            <family val="2"/>
          </rPr>
          <t xml:space="preserve">Here are the definitions...
</t>
        </r>
        <r>
          <rPr>
            <b/>
            <sz val="9"/>
            <color indexed="81"/>
            <rFont val="Tahoma"/>
            <family val="2"/>
          </rPr>
          <t>Premium =</t>
        </r>
        <r>
          <rPr>
            <sz val="9"/>
            <color indexed="81"/>
            <rFont val="Tahoma"/>
            <family val="2"/>
          </rPr>
          <t xml:space="preserve"> Stock Price is more than the Fair Value, which means the stock is expensive.
</t>
        </r>
        <r>
          <rPr>
            <b/>
            <sz val="9"/>
            <color indexed="81"/>
            <rFont val="Tahoma"/>
            <family val="2"/>
          </rPr>
          <t>Discount =</t>
        </r>
        <r>
          <rPr>
            <sz val="9"/>
            <color indexed="81"/>
            <rFont val="Tahoma"/>
            <family val="2"/>
          </rPr>
          <t xml:space="preserve"> Stock Price is less than the Fair Value, which means the stock is cheap.
</t>
        </r>
        <r>
          <rPr>
            <b/>
            <sz val="9"/>
            <color indexed="81"/>
            <rFont val="Tahoma"/>
            <family val="2"/>
          </rPr>
          <t>Warning:</t>
        </r>
        <r>
          <rPr>
            <sz val="9"/>
            <color indexed="81"/>
            <rFont val="Tahoma"/>
            <family val="2"/>
          </rPr>
          <t xml:space="preserve"> Valuation must only be looked after assessing the quality of a business. Otherwise, if the business is bad, or getting bad, a cheap stock can be a "value trap".</t>
        </r>
      </text>
    </comment>
  </commentList>
</comments>
</file>

<file path=xl/sharedStrings.xml><?xml version="1.0" encoding="utf-8"?>
<sst xmlns="http://schemas.openxmlformats.org/spreadsheetml/2006/main" count="405" uniqueCount="267">
  <si>
    <t>1-5</t>
  </si>
  <si>
    <t>6-10</t>
  </si>
  <si>
    <t>Year</t>
  </si>
  <si>
    <t>Growth</t>
  </si>
  <si>
    <t>Terminal Year</t>
  </si>
  <si>
    <t>DCF</t>
  </si>
  <si>
    <t>High End</t>
  </si>
  <si>
    <t>Low End</t>
  </si>
  <si>
    <t>Avg P/E Ratio Valuation</t>
  </si>
  <si>
    <t>EPV</t>
  </si>
  <si>
    <t>Share Capital</t>
  </si>
  <si>
    <t>Minority Interest</t>
  </si>
  <si>
    <t>Inventories</t>
  </si>
  <si>
    <t>Other Current Assets</t>
  </si>
  <si>
    <t>Current Liabilities</t>
  </si>
  <si>
    <t>Shareholder's Funds / Equity</t>
  </si>
  <si>
    <t>Inventory Days</t>
  </si>
  <si>
    <t>L-4</t>
  </si>
  <si>
    <t>L-3</t>
  </si>
  <si>
    <t>L-2</t>
  </si>
  <si>
    <t>L-1</t>
  </si>
  <si>
    <t>L</t>
  </si>
  <si>
    <t>Graham Number</t>
  </si>
  <si>
    <t>Years</t>
  </si>
  <si>
    <t>L-8</t>
  </si>
  <si>
    <t>L-9</t>
  </si>
  <si>
    <t>L-7</t>
  </si>
  <si>
    <t>L-6</t>
  </si>
  <si>
    <t>L-5</t>
  </si>
  <si>
    <t>Fair Value after MoS</t>
  </si>
  <si>
    <t>Fair Value Range (Rs/Share)</t>
  </si>
  <si>
    <t>Margin of Safety (MoS)</t>
  </si>
  <si>
    <t>Current Mkt. Price (CMP, Rs)</t>
  </si>
  <si>
    <t>Premium / (Discount)</t>
  </si>
  <si>
    <t>Number of Shares</t>
  </si>
  <si>
    <t>Total PV of Cash Flows</t>
  </si>
  <si>
    <t>Terminal Value</t>
  </si>
  <si>
    <t>PV of Year 1-10 Cash Flows</t>
  </si>
  <si>
    <t>FCF</t>
  </si>
  <si>
    <t>Present Value</t>
  </si>
  <si>
    <t>Final Calculations</t>
  </si>
  <si>
    <t>Initial Cash Flow</t>
  </si>
  <si>
    <t>FCF Growth Rate</t>
  </si>
  <si>
    <t>Discount Rate</t>
  </si>
  <si>
    <t>Terminal Growth Rate</t>
  </si>
  <si>
    <t>Net Debt Level</t>
  </si>
  <si>
    <t>DCF Value / Share (Rs)</t>
  </si>
  <si>
    <t>Stock Price - High (Rs)</t>
  </si>
  <si>
    <t>Stock Price - Low (Rs)</t>
  </si>
  <si>
    <t>High P/E (x)</t>
  </si>
  <si>
    <t>Low P/E (x)</t>
  </si>
  <si>
    <t>Average P/E (x)</t>
  </si>
  <si>
    <t>Valuation - Different Methods (Rs)</t>
  </si>
  <si>
    <t>Operational &amp; Financial Ratios</t>
  </si>
  <si>
    <t>Performance Ratios</t>
  </si>
  <si>
    <t>Efficiency Ratios</t>
  </si>
  <si>
    <t>Financial Stability Ratios</t>
  </si>
  <si>
    <t>Profitability Ratios</t>
  </si>
  <si>
    <t>Total Debt/Equity (x)</t>
  </si>
  <si>
    <t>Current Ratio (x)</t>
  </si>
  <si>
    <t>Quick Ratio (x)</t>
  </si>
  <si>
    <t>Interest Cover (x)</t>
  </si>
  <si>
    <t>Tax Rate (%)</t>
  </si>
  <si>
    <t>Dividend Pay Out Ratio (%)</t>
  </si>
  <si>
    <t>EBITDA Margin (%)</t>
  </si>
  <si>
    <t>EBIT Margin (%)</t>
  </si>
  <si>
    <t>Net Profit Margin (%)</t>
  </si>
  <si>
    <t>Return on Equity (%)</t>
  </si>
  <si>
    <t>Return on Capital Employed (%)</t>
  </si>
  <si>
    <t>Return on Invested Capital (%)</t>
  </si>
  <si>
    <t>Sales/Working Capital (x)</t>
  </si>
  <si>
    <t>Receivable Days</t>
  </si>
  <si>
    <t>Payable Days</t>
  </si>
  <si>
    <t>Net Sales Growth (%)</t>
  </si>
  <si>
    <t>EBITDA Growth (%)</t>
  </si>
  <si>
    <t>PAT Growth (%)</t>
  </si>
  <si>
    <t>Net Sales</t>
  </si>
  <si>
    <t>Increase/Decrease in Stock</t>
  </si>
  <si>
    <t>Raw Material Consumed</t>
  </si>
  <si>
    <t>Employee Cost</t>
  </si>
  <si>
    <t>Other Manufacturing Expenses</t>
  </si>
  <si>
    <t>General and Administration Expenses</t>
  </si>
  <si>
    <t>Selling and Distribution Expenses</t>
  </si>
  <si>
    <t>Miscellaneous Expenses</t>
  </si>
  <si>
    <t>Total Expenditure</t>
  </si>
  <si>
    <t>Other Income</t>
  </si>
  <si>
    <t>Interest</t>
  </si>
  <si>
    <t>Depreciation</t>
  </si>
  <si>
    <t>Exceptional Income / Expenses</t>
  </si>
  <si>
    <t>Profit Before Tax</t>
  </si>
  <si>
    <t>Provision for Tax</t>
  </si>
  <si>
    <t>Profit After Tax</t>
  </si>
  <si>
    <t>Share of Associate</t>
  </si>
  <si>
    <t>Expenditure</t>
  </si>
  <si>
    <t>Operating Profit / EBITDA</t>
  </si>
  <si>
    <t>Profit Before Interest &amp; Tax (PBIT)</t>
  </si>
  <si>
    <t>Proposed Equity Dividend</t>
  </si>
  <si>
    <t>Interim Equity Dividend</t>
  </si>
  <si>
    <t>Total Equity Dividend</t>
  </si>
  <si>
    <t>PBIT Growth (%)</t>
  </si>
  <si>
    <t>Consolidated Profit After Tax (PAT)</t>
  </si>
  <si>
    <t>Debt Burden (x)</t>
  </si>
  <si>
    <t>Reserves &amp; Surplus</t>
  </si>
  <si>
    <t>Non-Current Liabilities</t>
  </si>
  <si>
    <t>Long-Term Borrowings</t>
  </si>
  <si>
    <t>Trade Payables</t>
  </si>
  <si>
    <t>SOURCES OF FUNDS / EQUITY &amp; LIABILITIES</t>
  </si>
  <si>
    <t>APPLICATION OF FUNDS / ASSETS</t>
  </si>
  <si>
    <t>Short-Term Borrowings</t>
  </si>
  <si>
    <t>Non-Current Assets</t>
  </si>
  <si>
    <t>Tangible Assets</t>
  </si>
  <si>
    <t>Intangible Assets</t>
  </si>
  <si>
    <t>Non-Current Investments</t>
  </si>
  <si>
    <t>Current Assets</t>
  </si>
  <si>
    <t>Current Investments</t>
  </si>
  <si>
    <t>Trade Receivables</t>
  </si>
  <si>
    <t>Short-Term Provisions</t>
  </si>
  <si>
    <t>Other Current Liabilities</t>
  </si>
  <si>
    <t>Short-Term Loans and Advances</t>
  </si>
  <si>
    <t>Cash and Bank Balance</t>
  </si>
  <si>
    <t>Net cash (used in) / generated from operating activities</t>
  </si>
  <si>
    <t>Payment for purchase of fixed assets</t>
  </si>
  <si>
    <t>Net cash (used in) / generated from investing activities</t>
  </si>
  <si>
    <t>Net cash (used in) / generated from financing activities</t>
  </si>
  <si>
    <t>Net increase in cash and cash equivalents</t>
  </si>
  <si>
    <t>Free Cash Flow</t>
  </si>
  <si>
    <t>Shares Outstanding (Crore)</t>
  </si>
  <si>
    <t>CAGR</t>
  </si>
  <si>
    <t>Gross Margin (%)</t>
  </si>
  <si>
    <t>Capital Work-in-Progress</t>
  </si>
  <si>
    <t>Date of Analysis:</t>
  </si>
  <si>
    <t>Current Stock Data</t>
  </si>
  <si>
    <t>Return on Equity:</t>
  </si>
  <si>
    <t>Payout Ratio:</t>
  </si>
  <si>
    <t>Price:</t>
  </si>
  <si>
    <t>P/E Ratio-High:</t>
  </si>
  <si>
    <t>EPS:</t>
  </si>
  <si>
    <t>P/E Ratio-Low:</t>
  </si>
  <si>
    <t>DPS:</t>
  </si>
  <si>
    <t>P/E Ratio:</t>
  </si>
  <si>
    <t>BVPS:</t>
  </si>
  <si>
    <t>Sustainable Growth</t>
  </si>
  <si>
    <t>P/E:</t>
  </si>
  <si>
    <t>Earnings Yield:</t>
  </si>
  <si>
    <t>Dividend Yield:</t>
  </si>
  <si>
    <t>P/BV:</t>
  </si>
  <si>
    <t>Historical Company Data</t>
  </si>
  <si>
    <t xml:space="preserve">Price </t>
  </si>
  <si>
    <t>P/E Ratio</t>
  </si>
  <si>
    <t>EPS</t>
  </si>
  <si>
    <t>DPS</t>
  </si>
  <si>
    <t>BVPS</t>
  </si>
  <si>
    <t>High</t>
  </si>
  <si>
    <t>Low</t>
  </si>
  <si>
    <t>ROE</t>
  </si>
  <si>
    <t>High Price</t>
  </si>
  <si>
    <t>Low Price</t>
  </si>
  <si>
    <t>Projected Company Data Using Historical Earnings Growth Rate</t>
  </si>
  <si>
    <t>Earnings after 10 years</t>
  </si>
  <si>
    <t>Sum of dividends paid over 10 years</t>
  </si>
  <si>
    <t>Projected price (Average P/E * EPS)</t>
  </si>
  <si>
    <t>Total gain (Projected Price + Dividends)</t>
  </si>
  <si>
    <t>Projected return using historical EPS growth rate</t>
  </si>
  <si>
    <t>[(Total Gain / Current Price) ^ (1/10)] - 1</t>
  </si>
  <si>
    <t>Projected Company Data Using Sustainable Growth Rate</t>
  </si>
  <si>
    <t>Earnings after 10 years (BVPS * ROE)</t>
  </si>
  <si>
    <t>Projected return using sustainable growth rate</t>
  </si>
  <si>
    <t>L+1</t>
  </si>
  <si>
    <t>L+2</t>
  </si>
  <si>
    <t>L+3</t>
  </si>
  <si>
    <t>L+4</t>
  </si>
  <si>
    <t>L+5</t>
  </si>
  <si>
    <t>L+6</t>
  </si>
  <si>
    <t>L+7</t>
  </si>
  <si>
    <t>L+8</t>
  </si>
  <si>
    <t>L+9</t>
  </si>
  <si>
    <t>L+10</t>
  </si>
  <si>
    <t>10-Year Averages</t>
  </si>
  <si>
    <t>Payout Ratio</t>
  </si>
  <si>
    <t>Factor</t>
  </si>
  <si>
    <t>5-Year Growth</t>
  </si>
  <si>
    <t>10-Year Growth</t>
  </si>
  <si>
    <t>Annually Compounded Rates of Growth</t>
  </si>
  <si>
    <t>L (Current)</t>
  </si>
  <si>
    <t>Consumer monopoly or commodity?</t>
  </si>
  <si>
    <t>Is the company conservatively financed?</t>
  </si>
  <si>
    <t>Are earnings strong and do they show an upward trend?</t>
  </si>
  <si>
    <t>Does the company stick with what it knows?</t>
  </si>
  <si>
    <t>Has the company been buying back its shares?</t>
  </si>
  <si>
    <t>Have retained earnings been invested well?</t>
  </si>
  <si>
    <t>Is the company’s return on equity above average?</t>
  </si>
  <si>
    <t>Is the company free to adjust prices to inflation?</t>
  </si>
  <si>
    <t>Does the company need to constantly reinvest in capital?</t>
  </si>
  <si>
    <t>Seek out companies that have no or less competition, either due to a patent or brand name or similar intangible that makes the product unique. Such companies will typically have high gross and operating profit margins because of their unique niche. However, don't just go on margins as high margins may simply highlight companies within industries with traditionally high margins. Thus, look for companies with gross, operating and net profit margins above industry norms. Also look for strong growth in earnings and high return on equity in the past.</t>
  </si>
  <si>
    <t>Understand how business works</t>
  </si>
  <si>
    <t>Gross Profit</t>
  </si>
  <si>
    <t>Parameter</t>
  </si>
  <si>
    <t>Explanation</t>
  </si>
  <si>
    <t>Conclusion</t>
  </si>
  <si>
    <t>Never Forget</t>
  </si>
  <si>
    <t>Focus on decisions, not outcomes. Look for disconfirming evidence. Pray!</t>
  </si>
  <si>
    <t>Try to invest in industries where you possess some specialized knowledge (where you work) or can more effectively judge a company, its industry, and its competitive environment (simple products you consume). While it is difficult to construct a quantitative filter, you should be able to identify areas of interest. You should "only" consider analyzing those companies that operate in areas that you can clearly grasp - your circle of competence. Of course you can increase the size of the circle, but only over time by learning about new industries. More important than the size of the circle is to know its boundaries.</t>
  </si>
  <si>
    <t>Diluted EPS (Rs)</t>
  </si>
  <si>
    <t>Historical Earnings Growth</t>
  </si>
  <si>
    <t>Sustainable Earnings Growth</t>
  </si>
  <si>
    <t>Source - Buffettology by Mary Buffett &amp; David Clark</t>
  </si>
  <si>
    <t>Year / Rs Crore</t>
  </si>
  <si>
    <t>Asian Paints - Balance Sheet</t>
  </si>
  <si>
    <t>Asian Paints - P&amp;L Account</t>
  </si>
  <si>
    <t>Asian Paints</t>
  </si>
  <si>
    <t>Growth Ratios</t>
  </si>
  <si>
    <t>Asian Paints - Cash Flow Statement</t>
  </si>
  <si>
    <t>Asian Paints - Key Ratios</t>
  </si>
  <si>
    <t>Asian Paints: 2-Stage DCF</t>
  </si>
  <si>
    <t>Asian Paints - Buffett Valuation Spreadsheet</t>
  </si>
  <si>
    <t>Asian Paints - Fair Value Calculation</t>
  </si>
  <si>
    <t>Industry</t>
  </si>
  <si>
    <t>Paints</t>
  </si>
  <si>
    <t>Company</t>
  </si>
  <si>
    <t>Current Stock Price (Rs)</t>
  </si>
  <si>
    <t>XYZ</t>
  </si>
  <si>
    <t>No. of Shares (Crore)</t>
  </si>
  <si>
    <t>Parameters</t>
  </si>
  <si>
    <t>Details</t>
  </si>
  <si>
    <t>Key Financials (Last 10-Years)</t>
  </si>
  <si>
    <t>Market Capitalization (Rs Crore)</t>
  </si>
  <si>
    <t>Promoter Shareholding (Latest Quarter)</t>
  </si>
  <si>
    <t>Promoter Pledged Shareholding (Latest Quarter)</t>
  </si>
  <si>
    <t>Face Value (Rs)</t>
  </si>
  <si>
    <t>Sales Growth (10-Year CAGR)</t>
  </si>
  <si>
    <t>Gross Profit Growth (10-Year CAGR)</t>
  </si>
  <si>
    <t>Net Profit Growth (10-Year CAGR)</t>
  </si>
  <si>
    <t>Average Return on Equity</t>
  </si>
  <si>
    <t>Basic Company Details</t>
  </si>
  <si>
    <t>Diluted Earnings Per Share (Rs)</t>
  </si>
  <si>
    <t>Diluted Book Value Per Share (Rs)</t>
  </si>
  <si>
    <t>(Don't touch any cell on this sheet, as all are calculated figures)</t>
  </si>
  <si>
    <t>(Enter values only in red cells)</t>
  </si>
  <si>
    <r>
      <t xml:space="preserve">Source - Buffettology by Mary Buffett &amp; David Clark | </t>
    </r>
    <r>
      <rPr>
        <i/>
        <sz val="12"/>
        <color rgb="FFC00000"/>
        <rFont val="Arial"/>
        <family val="2"/>
      </rPr>
      <t>(Enter values only in red cells)</t>
    </r>
  </si>
  <si>
    <t>Figures in Rs Crore | Enter values only in red cells</t>
  </si>
  <si>
    <t>Business (As you understand it, in simple words)</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</si>
  <si>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</si>
  <si>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</si>
  <si>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Like you should stock to your circle of competence, a company should invest its capital only in those businesses within its circle of competence. This is a difficult factor to screen for on a quantitative level. Before investing in a company, look at the company’s past pattern of acquisitions and new directions. They should fit within the primary range of operations for the firm. Be cautious of companies that have been very aggressive in acquisitions in the past.</t>
  </si>
  <si>
    <t>Seek companies where earnings have risen as retained earnings (earnings after paying dividends) have been employed profitably. A great way to screen for such companies is by looking at those that have had consistent earnings and strong return on equity in the past.</t>
  </si>
  <si>
    <t>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</si>
  <si>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</si>
  <si>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Sensible investing is always about using “folly and discipline” - the discipline to identify excellent businesses, and wait for the folly of the market to drive down the value of these businesses to attractive levels. You will have little trouble understanding this philosophy. However, its successful implementation is dependent upon your dedication to learn and follow the principles, and apply them to pick stocks successfully.</t>
  </si>
  <si>
    <t>Buffett Checklist - Read, Remember, Follow!</t>
  </si>
  <si>
    <r>
      <rPr>
        <b/>
        <sz val="15"/>
        <color rgb="FFC00000"/>
        <rFont val="Arial"/>
        <family val="2"/>
      </rPr>
      <t xml:space="preserve">Remember!            </t>
    </r>
    <r>
      <rPr>
        <b/>
        <sz val="12"/>
        <color theme="1"/>
        <rFont val="Arial"/>
        <family val="2"/>
      </rPr>
      <t xml:space="preserve">                                   What counts in the long run is the increase in "per share value", not overall growth or size of a business.</t>
    </r>
  </si>
  <si>
    <r>
      <rPr>
        <b/>
        <sz val="15"/>
        <color rgb="FFC00000"/>
        <rFont val="Arial"/>
        <family val="2"/>
      </rPr>
      <t xml:space="preserve">Remember!                                                           </t>
    </r>
    <r>
      <rPr>
        <b/>
        <sz val="12"/>
        <color theme="1"/>
        <rFont val="Arial"/>
        <family val="2"/>
      </rPr>
      <t>Gross margins suggest pricing power. Higher = Better, but also invites competition. So watch out for consistency.</t>
    </r>
  </si>
  <si>
    <r>
      <rPr>
        <b/>
        <sz val="15"/>
        <color rgb="FFC00000"/>
        <rFont val="Arial"/>
        <family val="2"/>
      </rPr>
      <t xml:space="preserve">Remember!                                                                    </t>
    </r>
    <r>
      <rPr>
        <b/>
        <sz val="12"/>
        <color theme="1"/>
        <rFont val="Arial"/>
        <family val="2"/>
      </rPr>
      <t xml:space="preserve">    Cash flow, not reported earnings, is what determines a company's long-term value.</t>
    </r>
  </si>
  <si>
    <r>
      <rPr>
        <b/>
        <sz val="20"/>
        <color rgb="FFC00000"/>
        <rFont val="Arial"/>
        <family val="2"/>
      </rPr>
      <t xml:space="preserve">Warning!                              </t>
    </r>
    <r>
      <rPr>
        <b/>
        <sz val="12"/>
        <color theme="1"/>
        <rFont val="Arial"/>
        <family val="2"/>
      </rPr>
      <t>Past is no predictor of the future. So be careful using numbers in this sheet - that are based on past numbers - into your fair value calculations. Of course past can give some indications of the future, but the future is never always the same.</t>
    </r>
  </si>
  <si>
    <r>
      <rPr>
        <b/>
        <sz val="15"/>
        <color rgb="FFC00000"/>
        <rFont val="Arial"/>
        <family val="2"/>
      </rPr>
      <t xml:space="preserve">Why DCF?        </t>
    </r>
    <r>
      <rPr>
        <b/>
        <sz val="12"/>
        <color rgb="FFC00000"/>
        <rFont val="Arial"/>
        <family val="2"/>
      </rPr>
      <t xml:space="preserve">                                     </t>
    </r>
    <r>
      <rPr>
        <b/>
        <sz val="11"/>
        <color theme="1"/>
        <rFont val="Arial"/>
        <family val="2"/>
      </rPr>
      <t>The value of a business is simply the present value of cash that investors can take out of the business over its lifetime.</t>
    </r>
  </si>
  <si>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</si>
  <si>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That's what is called "pricing power". Companies with moat (as seen from other screening metrics as suggested above (like high ROE, high grow margins, low debt etc.) are able to adjust prices to inflation without the risk of losing significant volume sales.</t>
  </si>
  <si>
    <t>Govt. Bond Yield:</t>
  </si>
  <si>
    <t>www.safalniveshak.com</t>
  </si>
  <si>
    <r>
      <rPr>
        <sz val="30"/>
        <color rgb="FF0070C0"/>
        <rFont val="Arial Black"/>
        <family val="2"/>
      </rPr>
      <t xml:space="preserve">Safal Niveshak                          </t>
    </r>
    <r>
      <rPr>
        <sz val="20"/>
        <color theme="1"/>
        <rFont val="Arial Black"/>
        <family val="2"/>
      </rPr>
      <t xml:space="preserve"> </t>
    </r>
    <r>
      <rPr>
        <sz val="15"/>
        <color theme="1"/>
        <rFont val="Arial Black"/>
        <family val="2"/>
      </rPr>
      <t xml:space="preserve">Value Investing Made Simple                 </t>
    </r>
  </si>
  <si>
    <t>Average Debt/Equity (x)</t>
  </si>
  <si>
    <r>
      <rPr>
        <b/>
        <sz val="15"/>
        <color rgb="FFC00000"/>
        <rFont val="Arial"/>
        <family val="2"/>
      </rPr>
      <t xml:space="preserve">Warning!            </t>
    </r>
    <r>
      <rPr>
        <b/>
        <sz val="12"/>
        <color theme="1"/>
        <rFont val="Arial"/>
        <family val="2"/>
      </rPr>
      <t xml:space="preserve">                                                                                                 Excel can be a wonderful tool to analyze the past. But it can be a weapon of mass destruction to predict the future! So be very careful of what you are getting into. Here, garbage in will always equal garbage out.</t>
    </r>
  </si>
  <si>
    <r>
      <rPr>
        <b/>
        <sz val="15"/>
        <color rgb="FFC00000"/>
        <rFont val="Arial"/>
        <family val="2"/>
      </rPr>
      <t xml:space="preserve">Remember!                                                                                                                         </t>
    </r>
    <r>
      <rPr>
        <b/>
        <sz val="12"/>
        <color theme="1"/>
        <rFont val="Arial"/>
        <family val="2"/>
      </rPr>
      <t>Focus on decisions, not outcomes. Look for disconfirming evidence. Calculate. Pray!</t>
    </r>
  </si>
  <si>
    <r>
      <rPr>
        <b/>
        <sz val="15"/>
        <color rgb="FFC00000"/>
        <rFont val="Arial"/>
        <family val="2"/>
      </rPr>
      <t xml:space="preserve">Please!                                                                                 </t>
    </r>
    <r>
      <rPr>
        <b/>
        <sz val="12"/>
        <color theme="1"/>
        <rFont val="Arial"/>
        <family val="2"/>
      </rPr>
      <t xml:space="preserve">It's your money. Please don't blame me if results of this excel cause you to lose it all! I've designed this excel to aid your own thinking, but you alone are responsible for your actions. I want to live peacefully ever after! :-)                                 </t>
    </r>
    <r>
      <rPr>
        <b/>
        <sz val="12"/>
        <color rgb="FFC00000"/>
        <rFont val="Arial"/>
        <family val="2"/>
      </rPr>
      <t xml:space="preserve">I am not a sadist who wants you to do the hard work by analyzing companies on your own. But I'd rather give you a compass instead of a map, for you can confuse map with territory and lose it all! </t>
    </r>
    <r>
      <rPr>
        <b/>
        <sz val="12"/>
        <color theme="1"/>
        <rFont val="Arial"/>
        <family val="2"/>
      </rPr>
      <t>All the best!</t>
    </r>
  </si>
  <si>
    <t>Dividend Per Share (Rs)</t>
  </si>
  <si>
    <r>
      <rPr>
        <b/>
        <sz val="20"/>
        <color rgb="FFC00000"/>
        <rFont val="Arial"/>
        <family val="2"/>
      </rPr>
      <t xml:space="preserve">Remember!  </t>
    </r>
    <r>
      <rPr>
        <b/>
        <sz val="12"/>
        <color rgb="FFC00000"/>
        <rFont val="Arial"/>
        <family val="2"/>
      </rPr>
      <t xml:space="preserve"> </t>
    </r>
    <r>
      <rPr>
        <b/>
        <sz val="12"/>
        <color theme="1"/>
        <rFont val="Arial"/>
        <family val="2"/>
      </rPr>
      <t xml:space="preserve">                                                                                            Give importance to a stock's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t>
    </r>
    <r>
      <rPr>
        <b/>
        <sz val="12"/>
        <color rgb="FFC00000"/>
        <rFont val="Arial"/>
        <family val="2"/>
      </rPr>
      <t>Focus on decisions, not outcomes. Look for disconfirming evidence. Pray!</t>
    </r>
  </si>
  <si>
    <r>
      <rPr>
        <b/>
        <sz val="15"/>
        <color rgb="FFC00000"/>
        <rFont val="Arial"/>
        <family val="2"/>
      </rPr>
      <t xml:space="preserve">Remember! </t>
    </r>
    <r>
      <rPr>
        <sz val="15"/>
        <color rgb="FFC00000"/>
        <rFont val="Arial"/>
        <family val="2"/>
      </rPr>
      <t xml:space="preserve"> </t>
    </r>
    <r>
      <rPr>
        <sz val="12"/>
        <color theme="1"/>
        <rFont val="Arial"/>
        <family val="2"/>
      </rPr>
      <t xml:space="preserve">                                                   </t>
    </r>
    <r>
      <rPr>
        <b/>
        <sz val="12"/>
        <color theme="1"/>
        <rFont val="Arial"/>
        <family val="2"/>
      </rPr>
      <t xml:space="preserve">ROE = Efficiency in allocating capital, which is a CEO's #1 job. Higher = Better. Look for consistency. </t>
    </r>
  </si>
  <si>
    <r>
      <rPr>
        <b/>
        <sz val="11"/>
        <color rgb="FFC00000"/>
        <rFont val="Arial"/>
        <family val="2"/>
      </rPr>
      <t xml:space="preserve">Note: </t>
    </r>
    <r>
      <rPr>
        <sz val="11"/>
        <color rgb="FFC00000"/>
        <rFont val="Arial"/>
        <family val="2"/>
      </rPr>
      <t>Asian Paints' analysis in this excel is for representation purpose only.</t>
    </r>
  </si>
</sst>
</file>

<file path=xl/styles.xml><?xml version="1.0" encoding="utf-8"?>
<styleSheet xmlns="http://schemas.openxmlformats.org/spreadsheetml/2006/main">
  <numFmts count="13">
    <numFmt numFmtId="43" formatCode="_ * #,##0.00_ ;_ * \-#,##0.00_ ;_ * &quot;-&quot;??_ ;_ @_ "/>
    <numFmt numFmtId="164" formatCode="&quot;$&quot;#,##0_);[Red]\(&quot;$&quot;#,##0\)"/>
    <numFmt numFmtId="165" formatCode="_(* #,##0.00_);_(* \(#,##0.00\);_(* &quot;-&quot;??_);_(@_)"/>
    <numFmt numFmtId="166" formatCode="_(* #,##0.0_);_(* \(#,##0.0\);_(* &quot;-&quot;??_);_(@_)"/>
    <numFmt numFmtId="167" formatCode="_(* #,##0_);_(* \(#,##0\);_(* &quot;-&quot;??_);_(@_)"/>
    <numFmt numFmtId="168" formatCode="#,##0.000_);[Red]\(#,##0.000\)"/>
    <numFmt numFmtId="169" formatCode="0.0%"/>
    <numFmt numFmtId="170" formatCode="[$-409]mmm/yy;@"/>
    <numFmt numFmtId="171" formatCode="_(&quot;$&quot;* #,##0.00_);_(&quot;$&quot;* \(#,##0.00\);_(&quot;$&quot;* &quot;-&quot;??_);_(@_)"/>
    <numFmt numFmtId="172" formatCode="#,##0.0_);[Red]\(#,##0.0\)"/>
    <numFmt numFmtId="173" formatCode="&quot;$&quot;#,##0.00_);[Red]\(&quot;$&quot;#,##0.00\)"/>
    <numFmt numFmtId="174" formatCode="0.0"/>
    <numFmt numFmtId="175" formatCode="[$-409]d/mmm/yy;@"/>
  </numFmts>
  <fonts count="39">
    <font>
      <sz val="11"/>
      <color theme="1"/>
      <name val="Calibri"/>
      <family val="2"/>
      <scheme val="minor"/>
    </font>
    <font>
      <sz val="11"/>
      <color theme="1"/>
      <name val="Calibri"/>
      <family val="2"/>
      <scheme val="minor"/>
    </font>
    <font>
      <sz val="9"/>
      <color indexed="81"/>
      <name val="Tahoma"/>
      <family val="2"/>
    </font>
    <font>
      <sz val="12"/>
      <color indexed="8"/>
      <name val="Arial"/>
      <family val="2"/>
    </font>
    <font>
      <b/>
      <sz val="12"/>
      <color indexed="8"/>
      <name val="Arial"/>
      <family val="2"/>
    </font>
    <font>
      <b/>
      <sz val="12"/>
      <color theme="1"/>
      <name val="Arial"/>
      <family val="2"/>
    </font>
    <font>
      <sz val="12"/>
      <color theme="1"/>
      <name val="Arial"/>
      <family val="2"/>
    </font>
    <font>
      <i/>
      <sz val="12"/>
      <color theme="1"/>
      <name val="Arial"/>
      <family val="2"/>
    </font>
    <font>
      <b/>
      <sz val="12"/>
      <color rgb="FFC00000"/>
      <name val="Arial"/>
      <family val="2"/>
    </font>
    <font>
      <b/>
      <sz val="9"/>
      <color indexed="81"/>
      <name val="Tahoma"/>
      <family val="2"/>
    </font>
    <font>
      <b/>
      <sz val="12"/>
      <color theme="0"/>
      <name val="Arial"/>
      <family val="2"/>
    </font>
    <font>
      <b/>
      <i/>
      <sz val="9"/>
      <color indexed="81"/>
      <name val="Tahoma"/>
      <family val="2"/>
    </font>
    <font>
      <b/>
      <sz val="12"/>
      <name val="Arial"/>
      <family val="2"/>
    </font>
    <font>
      <sz val="12"/>
      <name val="Arial"/>
      <family val="2"/>
    </font>
    <font>
      <sz val="12"/>
      <color rgb="FF000000"/>
      <name val="Arial"/>
      <family val="2"/>
    </font>
    <font>
      <b/>
      <sz val="15"/>
      <color theme="1"/>
      <name val="Arial"/>
      <family val="2"/>
    </font>
    <font>
      <b/>
      <sz val="15"/>
      <name val="Arial"/>
      <family val="2"/>
    </font>
    <font>
      <i/>
      <sz val="9"/>
      <color indexed="81"/>
      <name val="Tahoma"/>
      <family val="2"/>
    </font>
    <font>
      <sz val="12"/>
      <color rgb="FFC00000"/>
      <name val="Arial"/>
      <family val="2"/>
    </font>
    <font>
      <b/>
      <sz val="20"/>
      <color theme="1"/>
      <name val="Arial"/>
      <family val="2"/>
    </font>
    <font>
      <sz val="20"/>
      <color theme="1"/>
      <name val="Arial"/>
      <family val="2"/>
    </font>
    <font>
      <i/>
      <sz val="10"/>
      <color theme="1"/>
      <name val="Arial"/>
      <family val="2"/>
    </font>
    <font>
      <b/>
      <sz val="12"/>
      <color theme="0" tint="-4.9989318521683403E-2"/>
      <name val="Arial"/>
      <family val="2"/>
    </font>
    <font>
      <b/>
      <sz val="20"/>
      <color rgb="FFC00000"/>
      <name val="Arial"/>
      <family val="2"/>
    </font>
    <font>
      <b/>
      <sz val="15"/>
      <color rgb="FFC00000"/>
      <name val="Arial"/>
      <family val="2"/>
    </font>
    <font>
      <b/>
      <sz val="15"/>
      <color rgb="FF0070C0"/>
      <name val="Arial"/>
      <family val="2"/>
    </font>
    <font>
      <i/>
      <sz val="11"/>
      <color rgb="FFC00000"/>
      <name val="Arial"/>
      <family val="2"/>
    </font>
    <font>
      <i/>
      <sz val="12"/>
      <color rgb="FFC00000"/>
      <name val="Arial"/>
      <family val="2"/>
    </font>
    <font>
      <sz val="15"/>
      <color rgb="FFC00000"/>
      <name val="Arial"/>
      <family val="2"/>
    </font>
    <font>
      <b/>
      <sz val="11"/>
      <color theme="1"/>
      <name val="Arial"/>
      <family val="2"/>
    </font>
    <font>
      <sz val="20"/>
      <color theme="1"/>
      <name val="Arial Black"/>
      <family val="2"/>
    </font>
    <font>
      <u/>
      <sz val="11"/>
      <color theme="10"/>
      <name val="Calibri"/>
      <family val="2"/>
    </font>
    <font>
      <b/>
      <u/>
      <sz val="12"/>
      <color theme="10"/>
      <name val="Arial"/>
      <family val="2"/>
    </font>
    <font>
      <sz val="15"/>
      <color theme="1"/>
      <name val="Arial Black"/>
      <family val="2"/>
    </font>
    <font>
      <sz val="30"/>
      <color rgb="FF0070C0"/>
      <name val="Arial Black"/>
      <family val="2"/>
    </font>
    <font>
      <b/>
      <sz val="9"/>
      <color indexed="81"/>
      <name val="Tahoma"/>
      <charset val="1"/>
    </font>
    <font>
      <sz val="9"/>
      <color indexed="81"/>
      <name val="Tahoma"/>
      <charset val="1"/>
    </font>
    <font>
      <sz val="11"/>
      <color rgb="FFC00000"/>
      <name val="Arial"/>
      <family val="2"/>
    </font>
    <font>
      <b/>
      <sz val="11"/>
      <color rgb="FFC00000"/>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alignment vertical="top"/>
      <protection locked="0"/>
    </xf>
  </cellStyleXfs>
  <cellXfs count="291">
    <xf numFmtId="0" fontId="0" fillId="0" borderId="0" xfId="0"/>
    <xf numFmtId="2" fontId="3" fillId="0" borderId="0" xfId="0" applyNumberFormat="1" applyFont="1"/>
    <xf numFmtId="167" fontId="6" fillId="0" borderId="0" xfId="1" applyNumberFormat="1" applyFont="1"/>
    <xf numFmtId="0" fontId="6" fillId="0" borderId="0" xfId="0" applyFont="1"/>
    <xf numFmtId="167" fontId="3" fillId="0" borderId="0" xfId="1" applyNumberFormat="1" applyFont="1"/>
    <xf numFmtId="1" fontId="6" fillId="0" borderId="0" xfId="0" applyNumberFormat="1" applyFont="1"/>
    <xf numFmtId="167" fontId="7" fillId="0" borderId="0" xfId="1" applyNumberFormat="1" applyFont="1"/>
    <xf numFmtId="166" fontId="6" fillId="0" borderId="0" xfId="1" applyNumberFormat="1" applyFont="1"/>
    <xf numFmtId="0" fontId="5" fillId="0" borderId="0" xfId="0" applyFont="1"/>
    <xf numFmtId="49" fontId="13" fillId="0" borderId="0" xfId="0" applyNumberFormat="1" applyFont="1" applyAlignment="1">
      <alignment horizontal="center"/>
    </xf>
    <xf numFmtId="9" fontId="6" fillId="0" borderId="2" xfId="0" applyNumberFormat="1" applyFont="1" applyBorder="1" applyAlignment="1">
      <alignment horizontal="center"/>
    </xf>
    <xf numFmtId="0" fontId="13" fillId="0" borderId="0" xfId="0" applyFont="1"/>
    <xf numFmtId="9" fontId="13" fillId="0" borderId="0" xfId="0" applyNumberFormat="1" applyFont="1" applyBorder="1" applyAlignment="1">
      <alignment horizontal="center"/>
    </xf>
    <xf numFmtId="0" fontId="13" fillId="0" borderId="0" xfId="0" applyFont="1" applyBorder="1" applyAlignment="1">
      <alignment horizontal="center"/>
    </xf>
    <xf numFmtId="168" fontId="13" fillId="0" borderId="0" xfId="0" applyNumberFormat="1" applyFont="1" applyBorder="1" applyAlignment="1">
      <alignment horizontal="center"/>
    </xf>
    <xf numFmtId="164" fontId="13" fillId="0" borderId="0" xfId="0" applyNumberFormat="1" applyFont="1" applyBorder="1" applyAlignment="1">
      <alignment horizontal="center"/>
    </xf>
    <xf numFmtId="9" fontId="13" fillId="0" borderId="0" xfId="0" applyNumberFormat="1" applyFont="1" applyAlignment="1">
      <alignment horizontal="center"/>
    </xf>
    <xf numFmtId="168" fontId="13" fillId="0" borderId="0" xfId="0" applyNumberFormat="1" applyFont="1" applyAlignment="1">
      <alignment horizontal="center"/>
    </xf>
    <xf numFmtId="0" fontId="13" fillId="0" borderId="0" xfId="0" applyFont="1" applyAlignment="1">
      <alignment horizontal="right"/>
    </xf>
    <xf numFmtId="0" fontId="13" fillId="0" borderId="0" xfId="0" quotePrefix="1" applyFont="1" applyAlignment="1">
      <alignment horizontal="left"/>
    </xf>
    <xf numFmtId="9" fontId="13" fillId="0" borderId="0" xfId="0" applyNumberFormat="1" applyFont="1" applyAlignment="1">
      <alignment horizontal="right"/>
    </xf>
    <xf numFmtId="0" fontId="13" fillId="0" borderId="0" xfId="0" quotePrefix="1" applyFont="1" applyAlignment="1">
      <alignment horizontal="center"/>
    </xf>
    <xf numFmtId="0" fontId="6" fillId="0" borderId="0" xfId="0" applyFont="1" applyFill="1"/>
    <xf numFmtId="0" fontId="5" fillId="0" borderId="0" xfId="0" applyFont="1" applyFill="1"/>
    <xf numFmtId="43" fontId="6" fillId="0" borderId="0" xfId="0" applyNumberFormat="1" applyFont="1"/>
    <xf numFmtId="0" fontId="6" fillId="0" borderId="0" xfId="0" applyFont="1" applyBorder="1"/>
    <xf numFmtId="166" fontId="6" fillId="0" borderId="0" xfId="1" applyNumberFormat="1" applyFont="1" applyBorder="1"/>
    <xf numFmtId="165" fontId="6" fillId="0" borderId="0" xfId="0" applyNumberFormat="1" applyFont="1"/>
    <xf numFmtId="169" fontId="6" fillId="0" borderId="0" xfId="2" applyNumberFormat="1" applyFont="1"/>
    <xf numFmtId="166" fontId="3" fillId="0" borderId="4" xfId="1" applyNumberFormat="1" applyFont="1" applyBorder="1"/>
    <xf numFmtId="167" fontId="3" fillId="0" borderId="4" xfId="1" applyNumberFormat="1" applyFont="1" applyBorder="1"/>
    <xf numFmtId="38" fontId="13" fillId="0" borderId="4" xfId="0" applyNumberFormat="1" applyFont="1" applyBorder="1" applyAlignment="1">
      <alignment horizontal="center"/>
    </xf>
    <xf numFmtId="9" fontId="13" fillId="0" borderId="4" xfId="0" applyNumberFormat="1" applyFont="1" applyBorder="1" applyAlignment="1">
      <alignment horizontal="center"/>
    </xf>
    <xf numFmtId="0" fontId="6" fillId="0" borderId="0" xfId="0" applyFont="1" applyAlignment="1">
      <alignment horizontal="left"/>
    </xf>
    <xf numFmtId="167" fontId="4" fillId="5" borderId="4" xfId="1" applyNumberFormat="1" applyFont="1" applyFill="1" applyBorder="1"/>
    <xf numFmtId="167" fontId="3" fillId="0" borderId="4" xfId="1" applyNumberFormat="1" applyFont="1" applyFill="1" applyBorder="1"/>
    <xf numFmtId="9" fontId="3" fillId="0" borderId="4" xfId="2" applyFont="1" applyBorder="1"/>
    <xf numFmtId="166" fontId="3" fillId="0" borderId="4" xfId="0" applyNumberFormat="1" applyFont="1" applyBorder="1"/>
    <xf numFmtId="0" fontId="5" fillId="0" borderId="0" xfId="0" applyFont="1" applyFill="1" applyAlignment="1">
      <alignment horizontal="right"/>
    </xf>
    <xf numFmtId="0" fontId="6" fillId="0" borderId="4" xfId="0" applyFont="1" applyBorder="1" applyAlignment="1">
      <alignment wrapText="1"/>
    </xf>
    <xf numFmtId="0" fontId="0" fillId="0" borderId="0" xfId="0" applyBorder="1"/>
    <xf numFmtId="167" fontId="6" fillId="0" borderId="0" xfId="0" applyNumberFormat="1" applyFont="1"/>
    <xf numFmtId="9" fontId="6" fillId="0" borderId="0" xfId="0" applyNumberFormat="1" applyFont="1"/>
    <xf numFmtId="0" fontId="20" fillId="0" borderId="0" xfId="0" applyFont="1"/>
    <xf numFmtId="0" fontId="6" fillId="3" borderId="0" xfId="0" applyFont="1" applyFill="1" applyAlignment="1">
      <alignment wrapText="1"/>
    </xf>
    <xf numFmtId="0" fontId="6" fillId="3" borderId="0" xfId="0" applyFont="1" applyFill="1"/>
    <xf numFmtId="0" fontId="5" fillId="3" borderId="0" xfId="0" applyFont="1" applyFill="1" applyAlignment="1">
      <alignment vertical="center"/>
    </xf>
    <xf numFmtId="0" fontId="5" fillId="0" borderId="4" xfId="0" applyFont="1" applyBorder="1" applyAlignment="1">
      <alignment vertical="center"/>
    </xf>
    <xf numFmtId="166" fontId="4" fillId="5" borderId="4" xfId="1" applyNumberFormat="1" applyFont="1" applyFill="1" applyBorder="1"/>
    <xf numFmtId="9" fontId="8" fillId="0" borderId="5" xfId="0" applyNumberFormat="1" applyFont="1" applyFill="1" applyBorder="1" applyAlignment="1">
      <alignment horizontal="center"/>
    </xf>
    <xf numFmtId="9" fontId="8" fillId="0" borderId="6" xfId="0" applyNumberFormat="1" applyFont="1" applyFill="1" applyBorder="1" applyAlignment="1">
      <alignment horizontal="center"/>
    </xf>
    <xf numFmtId="9" fontId="8" fillId="0" borderId="1" xfId="0" applyNumberFormat="1" applyFont="1" applyFill="1" applyBorder="1" applyAlignment="1">
      <alignment horizontal="center"/>
    </xf>
    <xf numFmtId="0" fontId="8" fillId="0" borderId="0" xfId="0" applyFont="1"/>
    <xf numFmtId="9" fontId="8" fillId="0" borderId="0" xfId="0" applyNumberFormat="1" applyFont="1" applyAlignment="1">
      <alignment horizontal="center"/>
    </xf>
    <xf numFmtId="166" fontId="3" fillId="0" borderId="4" xfId="1" applyNumberFormat="1" applyFont="1" applyFill="1" applyBorder="1"/>
    <xf numFmtId="167" fontId="8" fillId="0" borderId="4" xfId="1" applyNumberFormat="1" applyFont="1" applyBorder="1"/>
    <xf numFmtId="167" fontId="6" fillId="0" borderId="4" xfId="1" applyNumberFormat="1" applyFont="1" applyFill="1" applyBorder="1"/>
    <xf numFmtId="0" fontId="6" fillId="0" borderId="0" xfId="0" applyFont="1" applyBorder="1" applyAlignment="1">
      <alignment horizontal="right"/>
    </xf>
    <xf numFmtId="0" fontId="12" fillId="0" borderId="0" xfId="0" applyFont="1" applyBorder="1" applyAlignment="1">
      <alignment horizontal="right"/>
    </xf>
    <xf numFmtId="175" fontId="13" fillId="0" borderId="0" xfId="0" applyNumberFormat="1" applyFont="1" applyFill="1" applyBorder="1" applyAlignment="1">
      <alignment horizontal="left"/>
    </xf>
    <xf numFmtId="0" fontId="12" fillId="0" borderId="0" xfId="0" applyFont="1" applyBorder="1"/>
    <xf numFmtId="169" fontId="6" fillId="0" borderId="0" xfId="0" applyNumberFormat="1" applyFont="1" applyFill="1" applyBorder="1" applyAlignment="1">
      <alignment horizontal="left"/>
    </xf>
    <xf numFmtId="172" fontId="6" fillId="0" borderId="0" xfId="1" applyNumberFormat="1" applyFont="1" applyFill="1" applyBorder="1" applyAlignment="1">
      <alignment horizontal="left"/>
    </xf>
    <xf numFmtId="166" fontId="6" fillId="0" borderId="0" xfId="1" applyNumberFormat="1" applyFont="1" applyFill="1" applyBorder="1" applyAlignment="1">
      <alignment horizontal="left"/>
    </xf>
    <xf numFmtId="169" fontId="6" fillId="0" borderId="0" xfId="0" applyNumberFormat="1" applyFont="1" applyBorder="1" applyAlignment="1">
      <alignment horizontal="left"/>
    </xf>
    <xf numFmtId="169" fontId="6" fillId="0" borderId="0" xfId="2" applyNumberFormat="1" applyFont="1" applyFill="1" applyBorder="1" applyAlignment="1">
      <alignment horizontal="right"/>
    </xf>
    <xf numFmtId="172" fontId="6" fillId="0" borderId="0" xfId="1" applyNumberFormat="1" applyFont="1" applyFill="1" applyBorder="1" applyAlignment="1">
      <alignment horizontal="right"/>
    </xf>
    <xf numFmtId="169" fontId="8" fillId="0" borderId="0" xfId="0" applyNumberFormat="1" applyFont="1" applyFill="1" applyBorder="1" applyAlignment="1">
      <alignment horizontal="right"/>
    </xf>
    <xf numFmtId="10" fontId="6" fillId="0" borderId="0" xfId="0" applyNumberFormat="1" applyFont="1" applyBorder="1"/>
    <xf numFmtId="0" fontId="12" fillId="3" borderId="4" xfId="0" applyFont="1" applyFill="1" applyBorder="1" applyAlignment="1">
      <alignment horizontal="right"/>
    </xf>
    <xf numFmtId="166" fontId="6" fillId="0" borderId="4" xfId="1" applyNumberFormat="1" applyFont="1" applyFill="1" applyBorder="1"/>
    <xf numFmtId="174" fontId="6" fillId="0" borderId="4" xfId="0" applyNumberFormat="1" applyFont="1" applyFill="1" applyBorder="1"/>
    <xf numFmtId="169" fontId="6" fillId="0" borderId="4" xfId="2" applyNumberFormat="1" applyFont="1" applyFill="1" applyBorder="1"/>
    <xf numFmtId="174" fontId="6" fillId="0" borderId="0" xfId="0" applyNumberFormat="1" applyFont="1" applyBorder="1"/>
    <xf numFmtId="169" fontId="6" fillId="0" borderId="0" xfId="2" applyNumberFormat="1" applyFont="1" applyBorder="1"/>
    <xf numFmtId="2" fontId="6" fillId="0" borderId="0" xfId="0" applyNumberFormat="1" applyFont="1" applyBorder="1"/>
    <xf numFmtId="169" fontId="6" fillId="0" borderId="0" xfId="0" applyNumberFormat="1" applyFont="1" applyBorder="1"/>
    <xf numFmtId="0" fontId="5" fillId="0" borderId="0" xfId="0" applyFont="1" applyBorder="1"/>
    <xf numFmtId="173" fontId="6" fillId="0" borderId="0" xfId="0" applyNumberFormat="1" applyFont="1" applyBorder="1"/>
    <xf numFmtId="40" fontId="6" fillId="0" borderId="0" xfId="0" applyNumberFormat="1" applyFont="1" applyBorder="1"/>
    <xf numFmtId="166" fontId="6" fillId="0" borderId="0" xfId="1" applyNumberFormat="1" applyFont="1" applyFill="1" applyBorder="1"/>
    <xf numFmtId="171" fontId="6" fillId="0" borderId="0" xfId="0" applyNumberFormat="1" applyFont="1" applyFill="1" applyBorder="1"/>
    <xf numFmtId="169" fontId="6" fillId="0" borderId="0" xfId="2" applyNumberFormat="1" applyFont="1" applyFill="1" applyBorder="1"/>
    <xf numFmtId="0" fontId="6" fillId="0" borderId="0" xfId="0" applyFont="1" applyFill="1" applyBorder="1"/>
    <xf numFmtId="167" fontId="10" fillId="2" borderId="0" xfId="1" applyNumberFormat="1" applyFont="1" applyFill="1" applyBorder="1"/>
    <xf numFmtId="167" fontId="6" fillId="0" borderId="0" xfId="1" applyNumberFormat="1" applyFont="1" applyFill="1" applyBorder="1"/>
    <xf numFmtId="9" fontId="6" fillId="0" borderId="0" xfId="2" applyFont="1" applyFill="1" applyBorder="1"/>
    <xf numFmtId="0" fontId="6" fillId="0" borderId="14" xfId="0" applyFont="1" applyFill="1" applyBorder="1" applyAlignment="1">
      <alignment horizontal="left"/>
    </xf>
    <xf numFmtId="167" fontId="6" fillId="0" borderId="15" xfId="1" applyNumberFormat="1" applyFont="1" applyFill="1" applyBorder="1"/>
    <xf numFmtId="0" fontId="5" fillId="0" borderId="14" xfId="0" applyFont="1" applyBorder="1"/>
    <xf numFmtId="0" fontId="22" fillId="2" borderId="14" xfId="0" applyFont="1" applyFill="1" applyBorder="1"/>
    <xf numFmtId="167" fontId="22" fillId="2" borderId="15" xfId="1" applyNumberFormat="1" applyFont="1" applyFill="1" applyBorder="1"/>
    <xf numFmtId="167" fontId="5" fillId="0" borderId="15" xfId="1" applyNumberFormat="1" applyFont="1" applyBorder="1"/>
    <xf numFmtId="0" fontId="6" fillId="0" borderId="16" xfId="0" applyFont="1" applyFill="1" applyBorder="1"/>
    <xf numFmtId="169" fontId="5" fillId="0" borderId="17" xfId="2" applyNumberFormat="1" applyFont="1" applyFill="1" applyBorder="1"/>
    <xf numFmtId="0" fontId="6" fillId="0" borderId="14" xfId="0" applyFont="1" applyFill="1" applyBorder="1"/>
    <xf numFmtId="167" fontId="6" fillId="0" borderId="15" xfId="1" applyNumberFormat="1" applyFont="1" applyFill="1" applyBorder="1" applyProtection="1"/>
    <xf numFmtId="167" fontId="6" fillId="0" borderId="17" xfId="1" applyNumberFormat="1" applyFont="1" applyFill="1" applyBorder="1"/>
    <xf numFmtId="0" fontId="5" fillId="3" borderId="12" xfId="0" applyFont="1" applyFill="1" applyBorder="1"/>
    <xf numFmtId="170" fontId="5" fillId="3" borderId="18" xfId="0" applyNumberFormat="1" applyFont="1" applyFill="1" applyBorder="1" applyAlignment="1">
      <alignment horizontal="right"/>
    </xf>
    <xf numFmtId="170" fontId="5" fillId="3" borderId="13" xfId="0" applyNumberFormat="1" applyFont="1" applyFill="1" applyBorder="1" applyAlignment="1">
      <alignment horizontal="right"/>
    </xf>
    <xf numFmtId="0" fontId="14" fillId="0" borderId="14" xfId="0" applyFont="1" applyFill="1" applyBorder="1"/>
    <xf numFmtId="166" fontId="3" fillId="0" borderId="15" xfId="1" applyNumberFormat="1" applyFont="1" applyFill="1" applyBorder="1"/>
    <xf numFmtId="167" fontId="8" fillId="0" borderId="15" xfId="1" applyNumberFormat="1" applyFont="1" applyBorder="1"/>
    <xf numFmtId="0" fontId="14" fillId="0" borderId="16" xfId="0" applyFont="1" applyFill="1" applyBorder="1"/>
    <xf numFmtId="166" fontId="3" fillId="0" borderId="19" xfId="1" applyNumberFormat="1" applyFont="1" applyFill="1" applyBorder="1"/>
    <xf numFmtId="166" fontId="3" fillId="0" borderId="17" xfId="1" applyNumberFormat="1" applyFont="1" applyFill="1" applyBorder="1"/>
    <xf numFmtId="0" fontId="6" fillId="3" borderId="12" xfId="0" applyFont="1" applyFill="1" applyBorder="1"/>
    <xf numFmtId="0" fontId="6" fillId="3" borderId="18" xfId="0" applyFont="1" applyFill="1" applyBorder="1"/>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right"/>
    </xf>
    <xf numFmtId="0" fontId="12" fillId="0" borderId="14" xfId="0" applyFont="1" applyFill="1" applyBorder="1" applyAlignment="1">
      <alignment horizontal="center"/>
    </xf>
    <xf numFmtId="169" fontId="6" fillId="0" borderId="15" xfId="2" applyNumberFormat="1" applyFont="1" applyFill="1" applyBorder="1"/>
    <xf numFmtId="0" fontId="12" fillId="0" borderId="16" xfId="0" applyFont="1" applyFill="1" applyBorder="1" applyAlignment="1">
      <alignment horizontal="center"/>
    </xf>
    <xf numFmtId="166" fontId="6" fillId="0" borderId="19" xfId="1" applyNumberFormat="1" applyFont="1" applyFill="1" applyBorder="1"/>
    <xf numFmtId="167" fontId="6" fillId="0" borderId="19" xfId="1" applyNumberFormat="1" applyFont="1" applyFill="1" applyBorder="1"/>
    <xf numFmtId="174" fontId="6" fillId="0" borderId="19" xfId="0" applyNumberFormat="1" applyFont="1" applyFill="1" applyBorder="1"/>
    <xf numFmtId="169" fontId="6" fillId="0" borderId="19" xfId="2" applyNumberFormat="1" applyFont="1" applyFill="1" applyBorder="1"/>
    <xf numFmtId="169" fontId="6" fillId="0" borderId="17" xfId="2" applyNumberFormat="1" applyFont="1" applyFill="1" applyBorder="1"/>
    <xf numFmtId="0" fontId="12" fillId="3" borderId="12" xfId="0" applyFont="1" applyFill="1" applyBorder="1"/>
    <xf numFmtId="0" fontId="12" fillId="3" borderId="18" xfId="0" applyFont="1" applyFill="1" applyBorder="1" applyAlignment="1">
      <alignment horizontal="center"/>
    </xf>
    <xf numFmtId="2" fontId="12" fillId="3" borderId="18" xfId="0" applyNumberFormat="1" applyFont="1" applyFill="1" applyBorder="1"/>
    <xf numFmtId="2" fontId="12" fillId="3" borderId="13" xfId="0" applyNumberFormat="1" applyFont="1" applyFill="1" applyBorder="1"/>
    <xf numFmtId="0" fontId="5" fillId="0" borderId="14" xfId="0" applyFont="1" applyFill="1" applyBorder="1"/>
    <xf numFmtId="0" fontId="5" fillId="0" borderId="16" xfId="0" applyFont="1" applyFill="1" applyBorder="1"/>
    <xf numFmtId="0" fontId="12" fillId="3" borderId="12" xfId="0" applyFont="1" applyFill="1" applyBorder="1" applyAlignment="1">
      <alignment horizontal="center"/>
    </xf>
    <xf numFmtId="166" fontId="6" fillId="0" borderId="15" xfId="1" applyNumberFormat="1" applyFont="1" applyFill="1" applyBorder="1"/>
    <xf numFmtId="166" fontId="6" fillId="0" borderId="17" xfId="1" applyNumberFormat="1" applyFont="1" applyFill="1" applyBorder="1"/>
    <xf numFmtId="0" fontId="13" fillId="0" borderId="14" xfId="0" applyFont="1" applyBorder="1" applyAlignment="1">
      <alignment horizontal="center"/>
    </xf>
    <xf numFmtId="167" fontId="13" fillId="0" borderId="15" xfId="0" applyNumberFormat="1" applyFont="1" applyBorder="1" applyAlignment="1">
      <alignment horizontal="center"/>
    </xf>
    <xf numFmtId="0" fontId="13" fillId="0" borderId="16" xfId="0" applyFont="1" applyBorder="1" applyAlignment="1">
      <alignment horizontal="center"/>
    </xf>
    <xf numFmtId="38" fontId="13" fillId="0" borderId="19" xfId="0" applyNumberFormat="1" applyFont="1" applyBorder="1" applyAlignment="1">
      <alignment horizontal="center"/>
    </xf>
    <xf numFmtId="9" fontId="13" fillId="0" borderId="19" xfId="0" applyNumberFormat="1" applyFont="1" applyBorder="1" applyAlignment="1">
      <alignment horizontal="center"/>
    </xf>
    <xf numFmtId="167" fontId="13" fillId="0" borderId="17" xfId="0" applyNumberFormat="1" applyFont="1" applyBorder="1" applyAlignment="1">
      <alignment horizontal="center"/>
    </xf>
    <xf numFmtId="0" fontId="13" fillId="0" borderId="14" xfId="0" applyFont="1" applyBorder="1" applyAlignment="1">
      <alignment horizontal="left"/>
    </xf>
    <xf numFmtId="0" fontId="13" fillId="0" borderId="14" xfId="0" quotePrefix="1" applyFont="1" applyBorder="1" applyAlignment="1">
      <alignment horizontal="left"/>
    </xf>
    <xf numFmtId="0" fontId="10" fillId="2" borderId="16" xfId="0" applyFont="1" applyFill="1" applyBorder="1" applyAlignment="1">
      <alignment horizontal="left"/>
    </xf>
    <xf numFmtId="167" fontId="10" fillId="2" borderId="17" xfId="0" applyNumberFormat="1" applyFont="1" applyFill="1" applyBorder="1" applyAlignment="1">
      <alignment horizontal="center"/>
    </xf>
    <xf numFmtId="2" fontId="4" fillId="3" borderId="12" xfId="0" applyNumberFormat="1" applyFont="1" applyFill="1" applyBorder="1"/>
    <xf numFmtId="2" fontId="3" fillId="0" borderId="14" xfId="0" applyNumberFormat="1" applyFont="1" applyBorder="1"/>
    <xf numFmtId="166" fontId="3" fillId="0" borderId="15" xfId="1" applyNumberFormat="1" applyFont="1" applyBorder="1"/>
    <xf numFmtId="9" fontId="3" fillId="0" borderId="15" xfId="2" applyFont="1" applyBorder="1"/>
    <xf numFmtId="166" fontId="3" fillId="0" borderId="15" xfId="0" applyNumberFormat="1" applyFont="1" applyBorder="1"/>
    <xf numFmtId="2" fontId="3" fillId="0" borderId="16" xfId="0" applyNumberFormat="1" applyFont="1" applyBorder="1"/>
    <xf numFmtId="9" fontId="3" fillId="0" borderId="19" xfId="2" applyFont="1" applyBorder="1"/>
    <xf numFmtId="9" fontId="3" fillId="0" borderId="17" xfId="2" applyFont="1" applyBorder="1"/>
    <xf numFmtId="166" fontId="3" fillId="0" borderId="19" xfId="1" applyNumberFormat="1" applyFont="1" applyBorder="1"/>
    <xf numFmtId="166" fontId="3" fillId="0" borderId="17" xfId="1" applyNumberFormat="1" applyFont="1" applyBorder="1"/>
    <xf numFmtId="167" fontId="3" fillId="0" borderId="15" xfId="1" applyNumberFormat="1" applyFont="1" applyBorder="1"/>
    <xf numFmtId="167" fontId="3" fillId="0" borderId="19" xfId="1" applyNumberFormat="1" applyFont="1" applyBorder="1"/>
    <xf numFmtId="167" fontId="3" fillId="0" borderId="17" xfId="1" applyNumberFormat="1" applyFont="1" applyBorder="1"/>
    <xf numFmtId="167" fontId="5" fillId="5" borderId="4" xfId="1" applyNumberFormat="1" applyFont="1" applyFill="1" applyBorder="1"/>
    <xf numFmtId="2" fontId="4" fillId="5" borderId="14" xfId="0" applyNumberFormat="1" applyFont="1" applyFill="1" applyBorder="1"/>
    <xf numFmtId="167" fontId="4" fillId="5" borderId="15" xfId="1" applyNumberFormat="1" applyFont="1" applyFill="1" applyBorder="1"/>
    <xf numFmtId="0" fontId="5" fillId="5" borderId="16" xfId="0" applyFont="1" applyFill="1" applyBorder="1"/>
    <xf numFmtId="167" fontId="5" fillId="5" borderId="19" xfId="1" applyNumberFormat="1" applyFont="1" applyFill="1" applyBorder="1"/>
    <xf numFmtId="167" fontId="5" fillId="5" borderId="17" xfId="1" applyNumberFormat="1" applyFont="1" applyFill="1" applyBorder="1"/>
    <xf numFmtId="167" fontId="3" fillId="0" borderId="15" xfId="1" applyNumberFormat="1" applyFont="1" applyFill="1" applyBorder="1"/>
    <xf numFmtId="2" fontId="4" fillId="0" borderId="14" xfId="0" applyNumberFormat="1" applyFont="1" applyBorder="1"/>
    <xf numFmtId="2" fontId="10" fillId="4" borderId="4" xfId="0" applyNumberFormat="1" applyFont="1" applyFill="1" applyBorder="1"/>
    <xf numFmtId="167" fontId="5" fillId="0" borderId="4" xfId="1" applyNumberFormat="1" applyFont="1" applyFill="1" applyBorder="1"/>
    <xf numFmtId="167" fontId="10" fillId="4" borderId="4" xfId="1" applyNumberFormat="1" applyFont="1" applyFill="1" applyBorder="1"/>
    <xf numFmtId="2" fontId="10" fillId="4" borderId="14" xfId="0" applyNumberFormat="1" applyFont="1" applyFill="1" applyBorder="1"/>
    <xf numFmtId="2" fontId="10" fillId="4" borderId="15" xfId="0" applyNumberFormat="1" applyFont="1" applyFill="1" applyBorder="1"/>
    <xf numFmtId="2" fontId="5" fillId="5" borderId="14" xfId="0" applyNumberFormat="1" applyFont="1" applyFill="1" applyBorder="1"/>
    <xf numFmtId="167" fontId="5" fillId="5" borderId="15" xfId="1" applyNumberFormat="1" applyFont="1" applyFill="1" applyBorder="1"/>
    <xf numFmtId="2" fontId="5" fillId="0" borderId="14" xfId="0" applyNumberFormat="1" applyFont="1" applyFill="1" applyBorder="1"/>
    <xf numFmtId="167" fontId="5" fillId="0" borderId="15" xfId="1" applyNumberFormat="1" applyFont="1" applyFill="1" applyBorder="1"/>
    <xf numFmtId="2" fontId="8" fillId="0" borderId="14" xfId="0" applyNumberFormat="1" applyFont="1" applyBorder="1"/>
    <xf numFmtId="167" fontId="10" fillId="4" borderId="15" xfId="1" applyNumberFormat="1" applyFont="1" applyFill="1" applyBorder="1"/>
    <xf numFmtId="0" fontId="5" fillId="3" borderId="12" xfId="0" applyFont="1" applyFill="1" applyBorder="1" applyAlignment="1">
      <alignment wrapText="1"/>
    </xf>
    <xf numFmtId="0" fontId="5" fillId="3" borderId="13" xfId="0" applyFont="1" applyFill="1" applyBorder="1" applyAlignment="1">
      <alignment horizontal="left"/>
    </xf>
    <xf numFmtId="0" fontId="5" fillId="0" borderId="16" xfId="0" applyFont="1" applyBorder="1" applyAlignment="1">
      <alignment vertical="center"/>
    </xf>
    <xf numFmtId="0" fontId="6" fillId="0" borderId="17" xfId="0" applyFont="1" applyBorder="1" applyAlignment="1">
      <alignment wrapText="1"/>
    </xf>
    <xf numFmtId="0" fontId="5" fillId="0" borderId="23" xfId="0" applyFont="1" applyBorder="1" applyAlignment="1">
      <alignment vertical="center"/>
    </xf>
    <xf numFmtId="0" fontId="6" fillId="0" borderId="25" xfId="0" applyFont="1" applyBorder="1" applyAlignment="1">
      <alignment wrapText="1"/>
    </xf>
    <xf numFmtId="0" fontId="18" fillId="0" borderId="14" xfId="0" applyFont="1" applyBorder="1"/>
    <xf numFmtId="167" fontId="18" fillId="0" borderId="4" xfId="1" applyNumberFormat="1" applyFont="1" applyBorder="1"/>
    <xf numFmtId="167" fontId="18" fillId="0" borderId="15" xfId="1" applyNumberFormat="1" applyFont="1" applyBorder="1"/>
    <xf numFmtId="0" fontId="8" fillId="0" borderId="14" xfId="0" applyFont="1" applyBorder="1"/>
    <xf numFmtId="2" fontId="18" fillId="0" borderId="14" xfId="0" applyNumberFormat="1" applyFont="1" applyBorder="1"/>
    <xf numFmtId="167" fontId="18" fillId="0" borderId="4" xfId="1" applyNumberFormat="1" applyFont="1" applyFill="1" applyBorder="1"/>
    <xf numFmtId="167" fontId="18" fillId="0" borderId="15" xfId="1" applyNumberFormat="1" applyFont="1" applyFill="1" applyBorder="1"/>
    <xf numFmtId="2" fontId="8" fillId="5" borderId="14" xfId="0" applyNumberFormat="1" applyFont="1" applyFill="1" applyBorder="1"/>
    <xf numFmtId="167" fontId="8" fillId="5" borderId="4" xfId="1" applyNumberFormat="1" applyFont="1" applyFill="1" applyBorder="1"/>
    <xf numFmtId="167" fontId="8" fillId="5" borderId="15" xfId="1" applyNumberFormat="1" applyFont="1" applyFill="1" applyBorder="1"/>
    <xf numFmtId="2" fontId="18" fillId="0" borderId="14" xfId="0" applyNumberFormat="1" applyFont="1" applyBorder="1" applyAlignment="1">
      <alignment horizontal="left"/>
    </xf>
    <xf numFmtId="2" fontId="18" fillId="0" borderId="16" xfId="0" applyNumberFormat="1" applyFont="1" applyBorder="1"/>
    <xf numFmtId="167" fontId="18" fillId="0" borderId="19" xfId="1" applyNumberFormat="1" applyFont="1" applyBorder="1"/>
    <xf numFmtId="167" fontId="18" fillId="0" borderId="17" xfId="1" applyNumberFormat="1" applyFont="1" applyBorder="1"/>
    <xf numFmtId="0" fontId="18" fillId="0" borderId="14" xfId="0" applyFont="1" applyFill="1" applyBorder="1"/>
    <xf numFmtId="0" fontId="12" fillId="0" borderId="0" xfId="0" applyFont="1" applyBorder="1" applyAlignment="1">
      <alignment horizontal="left"/>
    </xf>
    <xf numFmtId="0" fontId="0" fillId="0" borderId="0" xfId="0" applyAlignment="1">
      <alignment horizontal="left"/>
    </xf>
    <xf numFmtId="167" fontId="8" fillId="0" borderId="0" xfId="1" applyNumberFormat="1" applyFont="1" applyFill="1" applyBorder="1" applyAlignment="1">
      <alignment horizontal="left"/>
    </xf>
    <xf numFmtId="0" fontId="25" fillId="0" borderId="0" xfId="0" applyFont="1" applyBorder="1"/>
    <xf numFmtId="167" fontId="6" fillId="0" borderId="1" xfId="1" applyNumberFormat="1" applyFont="1" applyFill="1" applyBorder="1" applyAlignment="1">
      <alignment horizontal="center"/>
    </xf>
    <xf numFmtId="167" fontId="6" fillId="0" borderId="3" xfId="1" applyNumberFormat="1" applyFont="1" applyFill="1" applyBorder="1" applyAlignment="1">
      <alignment horizontal="center"/>
    </xf>
    <xf numFmtId="2" fontId="18" fillId="0" borderId="14" xfId="0" applyNumberFormat="1" applyFont="1" applyFill="1" applyBorder="1"/>
    <xf numFmtId="0" fontId="5" fillId="3" borderId="14" xfId="0" applyFont="1" applyFill="1" applyBorder="1" applyAlignment="1">
      <alignment horizontal="left"/>
    </xf>
    <xf numFmtId="9" fontId="5" fillId="3" borderId="15" xfId="2" applyFont="1" applyFill="1" applyBorder="1" applyAlignment="1">
      <alignment horizontal="right"/>
    </xf>
    <xf numFmtId="0" fontId="27" fillId="0" borderId="0" xfId="0" applyFont="1" applyBorder="1" applyAlignment="1">
      <alignment horizontal="center"/>
    </xf>
    <xf numFmtId="0" fontId="7" fillId="0" borderId="0" xfId="0" applyFont="1" applyBorder="1" applyAlignment="1">
      <alignment horizontal="center"/>
    </xf>
    <xf numFmtId="9" fontId="18" fillId="0" borderId="15" xfId="2" applyFont="1" applyFill="1" applyBorder="1" applyAlignment="1">
      <alignment horizontal="right"/>
    </xf>
    <xf numFmtId="0" fontId="13" fillId="0" borderId="14" xfId="0" applyFont="1" applyBorder="1" applyAlignment="1">
      <alignment horizontal="left" vertical="top"/>
    </xf>
    <xf numFmtId="167" fontId="18" fillId="0" borderId="15" xfId="1" applyNumberFormat="1" applyFont="1" applyFill="1" applyBorder="1" applyAlignment="1">
      <alignment horizontal="left"/>
    </xf>
    <xf numFmtId="167" fontId="6" fillId="0" borderId="15" xfId="1" applyNumberFormat="1" applyFont="1" applyFill="1" applyBorder="1" applyAlignment="1">
      <alignment horizontal="left"/>
    </xf>
    <xf numFmtId="169" fontId="18" fillId="0" borderId="15" xfId="2" applyNumberFormat="1" applyFont="1" applyFill="1" applyBorder="1" applyAlignment="1">
      <alignment horizontal="left" indent="5"/>
    </xf>
    <xf numFmtId="0" fontId="13" fillId="0" borderId="16" xfId="0" applyFont="1" applyBorder="1" applyAlignment="1">
      <alignment horizontal="left"/>
    </xf>
    <xf numFmtId="169" fontId="18" fillId="0" borderId="17" xfId="2" applyNumberFormat="1" applyFont="1" applyFill="1" applyBorder="1" applyAlignment="1">
      <alignment horizontal="left" indent="5"/>
    </xf>
    <xf numFmtId="169" fontId="6" fillId="0" borderId="15" xfId="2" applyNumberFormat="1" applyFont="1" applyFill="1" applyBorder="1" applyAlignment="1">
      <alignment horizontal="right"/>
    </xf>
    <xf numFmtId="166" fontId="6" fillId="0" borderId="15" xfId="1" applyNumberFormat="1" applyFont="1" applyFill="1" applyBorder="1" applyAlignment="1">
      <alignment horizontal="left" indent="1"/>
    </xf>
    <xf numFmtId="169" fontId="6" fillId="0" borderId="17" xfId="2" applyNumberFormat="1" applyFont="1" applyFill="1" applyBorder="1" applyAlignment="1">
      <alignment horizontal="left" indent="5"/>
    </xf>
    <xf numFmtId="9" fontId="8" fillId="0" borderId="15" xfId="0" applyNumberFormat="1" applyFont="1" applyBorder="1"/>
    <xf numFmtId="0" fontId="18" fillId="3" borderId="0" xfId="0" applyFont="1" applyFill="1"/>
    <xf numFmtId="49" fontId="12" fillId="3" borderId="23" xfId="0" applyNumberFormat="1" applyFont="1" applyFill="1" applyBorder="1" applyAlignment="1">
      <alignment horizontal="center"/>
    </xf>
    <xf numFmtId="49" fontId="12" fillId="3" borderId="25" xfId="0" applyNumberFormat="1" applyFont="1" applyFill="1" applyBorder="1" applyAlignment="1">
      <alignment horizontal="center"/>
    </xf>
    <xf numFmtId="0" fontId="37" fillId="0" borderId="0" xfId="0" applyFont="1" applyAlignment="1">
      <alignment horizontal="left"/>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1" xfId="0" applyFill="1" applyBorder="1" applyAlignment="1">
      <alignment horizontal="center" vertical="center" wrapText="1"/>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5" fillId="5" borderId="29" xfId="0" applyFont="1" applyFill="1" applyBorder="1" applyAlignment="1">
      <alignment horizontal="center"/>
    </xf>
    <xf numFmtId="0" fontId="15" fillId="5" borderId="30" xfId="0"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applyAlignment="1">
      <alignment horizontal="center"/>
    </xf>
    <xf numFmtId="0" fontId="30" fillId="5" borderId="7"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2" fillId="0" borderId="0" xfId="3" applyFont="1" applyAlignment="1" applyProtection="1">
      <alignment horizontal="center"/>
    </xf>
    <xf numFmtId="0" fontId="19" fillId="5" borderId="20" xfId="0" applyFont="1" applyFill="1" applyBorder="1" applyAlignment="1">
      <alignment horizontal="center"/>
    </xf>
    <xf numFmtId="0" fontId="19" fillId="5" borderId="22" xfId="0" applyFont="1" applyFill="1" applyBorder="1" applyAlignment="1">
      <alignment horizontal="center"/>
    </xf>
    <xf numFmtId="0" fontId="21" fillId="0" borderId="21" xfId="0" applyFont="1" applyBorder="1" applyAlignment="1">
      <alignment horizontal="center"/>
    </xf>
    <xf numFmtId="0" fontId="15" fillId="5" borderId="23" xfId="0" applyFont="1" applyFill="1" applyBorder="1" applyAlignment="1">
      <alignment horizontal="center"/>
    </xf>
    <xf numFmtId="0" fontId="15" fillId="5" borderId="24" xfId="0" applyFont="1" applyFill="1" applyBorder="1" applyAlignment="1">
      <alignment horizontal="center"/>
    </xf>
    <xf numFmtId="0" fontId="15" fillId="5" borderId="25" xfId="0" applyFont="1" applyFill="1" applyBorder="1" applyAlignment="1">
      <alignment horizontal="center"/>
    </xf>
    <xf numFmtId="0" fontId="27" fillId="0" borderId="20" xfId="0" applyFont="1" applyFill="1" applyBorder="1" applyAlignment="1">
      <alignment horizontal="center"/>
    </xf>
    <xf numFmtId="0" fontId="27" fillId="0" borderId="21" xfId="0" applyFont="1" applyFill="1" applyBorder="1" applyAlignment="1">
      <alignment horizontal="center"/>
    </xf>
    <xf numFmtId="0" fontId="27" fillId="0" borderId="22" xfId="0" applyFont="1" applyFill="1" applyBorder="1" applyAlignment="1">
      <alignment horizontal="center"/>
    </xf>
    <xf numFmtId="0" fontId="15" fillId="5" borderId="26" xfId="0" applyFont="1" applyFill="1" applyBorder="1" applyAlignment="1">
      <alignment horizontal="center"/>
    </xf>
    <xf numFmtId="0" fontId="15" fillId="5" borderId="27" xfId="0" applyFont="1" applyFill="1" applyBorder="1" applyAlignment="1">
      <alignment horizontal="center"/>
    </xf>
    <xf numFmtId="0" fontId="15" fillId="5" borderId="28" xfId="0" applyFont="1" applyFill="1" applyBorder="1" applyAlignment="1">
      <alignment horizontal="center"/>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6" fillId="0" borderId="0" xfId="0" applyFont="1" applyFill="1" applyBorder="1" applyAlignment="1">
      <alignment horizontal="center"/>
    </xf>
    <xf numFmtId="0" fontId="16" fillId="5" borderId="12"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17" xfId="0" applyFont="1" applyFill="1" applyBorder="1" applyAlignment="1">
      <alignment horizontal="center" vertic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27" fillId="0" borderId="0" xfId="0" applyFont="1" applyBorder="1" applyAlignment="1">
      <alignment horizontal="center"/>
    </xf>
    <xf numFmtId="0" fontId="12" fillId="3" borderId="0" xfId="0" applyFont="1" applyFill="1" applyBorder="1" applyAlignment="1">
      <alignment horizontal="center"/>
    </xf>
    <xf numFmtId="0" fontId="15" fillId="5" borderId="18" xfId="0" applyFont="1" applyFill="1" applyBorder="1" applyAlignment="1">
      <alignment horizontal="center"/>
    </xf>
    <xf numFmtId="0" fontId="12" fillId="3" borderId="18" xfId="0" applyFont="1" applyFill="1" applyBorder="1" applyAlignment="1">
      <alignment horizontal="center"/>
    </xf>
    <xf numFmtId="0" fontId="7" fillId="0" borderId="16" xfId="0" applyFont="1" applyBorder="1" applyAlignment="1">
      <alignment horizontal="center"/>
    </xf>
    <xf numFmtId="0" fontId="7" fillId="0" borderId="19" xfId="0" applyFont="1" applyBorder="1" applyAlignment="1">
      <alignment horizontal="center"/>
    </xf>
    <xf numFmtId="0" fontId="7" fillId="0" borderId="17" xfId="0" applyFont="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5" fillId="5" borderId="20" xfId="0" applyFont="1" applyFill="1" applyBorder="1" applyAlignment="1">
      <alignment horizontal="center"/>
    </xf>
    <xf numFmtId="0" fontId="15" fillId="5" borderId="21" xfId="0" applyFont="1" applyFill="1" applyBorder="1" applyAlignment="1">
      <alignment horizontal="center"/>
    </xf>
    <xf numFmtId="0" fontId="15" fillId="5" borderId="22" xfId="0" applyFont="1" applyFill="1" applyBorder="1" applyAlignment="1">
      <alignment horizontal="center"/>
    </xf>
    <xf numFmtId="0" fontId="27" fillId="0" borderId="0"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5</xdr:row>
      <xdr:rowOff>161925</xdr:rowOff>
    </xdr:from>
    <xdr:to>
      <xdr:col>11</xdr:col>
      <xdr:colOff>476250</xdr:colOff>
      <xdr:row>24</xdr:row>
      <xdr:rowOff>28575</xdr:rowOff>
    </xdr:to>
    <xdr:grpSp>
      <xdr:nvGrpSpPr>
        <xdr:cNvPr id="11" name="Group 10"/>
        <xdr:cNvGrpSpPr/>
      </xdr:nvGrpSpPr>
      <xdr:grpSpPr>
        <a:xfrm>
          <a:off x="962025" y="1200150"/>
          <a:ext cx="8486775" cy="3524250"/>
          <a:chOff x="981075" y="1219200"/>
          <a:chExt cx="8486775" cy="3514725"/>
        </a:xfrm>
      </xdr:grpSpPr>
      <xdr:grpSp>
        <xdr:nvGrpSpPr>
          <xdr:cNvPr id="12" name="Group 11"/>
          <xdr:cNvGrpSpPr/>
        </xdr:nvGrpSpPr>
        <xdr:grpSpPr>
          <a:xfrm>
            <a:off x="981075" y="2476500"/>
            <a:ext cx="8486775" cy="2257425"/>
            <a:chOff x="981075" y="2476500"/>
            <a:chExt cx="8486775" cy="2257425"/>
          </a:xfrm>
        </xdr:grpSpPr>
        <xdr:grpSp>
          <xdr:nvGrpSpPr>
            <xdr:cNvPr id="7" name="Group 6"/>
            <xdr:cNvGrpSpPr/>
          </xdr:nvGrpSpPr>
          <xdr:grpSpPr>
            <a:xfrm>
              <a:off x="1333500" y="2476500"/>
              <a:ext cx="8134350" cy="2257425"/>
              <a:chOff x="1028700" y="2552700"/>
              <a:chExt cx="8134350" cy="2257425"/>
            </a:xfrm>
          </xdr:grpSpPr>
          <xdr:pic>
            <xdr:nvPicPr>
              <xdr:cNvPr id="8199"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028700" y="2552700"/>
                <a:ext cx="8134350" cy="2257425"/>
              </a:xfrm>
              <a:prstGeom prst="rect">
                <a:avLst/>
              </a:prstGeom>
              <a:noFill/>
            </xdr:spPr>
          </xdr:pic>
          <xdr:sp macro="" textlink="">
            <xdr:nvSpPr>
              <xdr:cNvPr id="5" name="Rounded Rectangle 4"/>
              <xdr:cNvSpPr/>
            </xdr:nvSpPr>
            <xdr:spPr>
              <a:xfrm>
                <a:off x="1533525" y="3362325"/>
                <a:ext cx="7267575" cy="26670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IN" sz="1100"/>
              </a:p>
            </xdr:txBody>
          </xdr:sp>
          <xdr:sp macro="" textlink="">
            <xdr:nvSpPr>
              <xdr:cNvPr id="6" name="Rounded Rectangle 5"/>
              <xdr:cNvSpPr/>
            </xdr:nvSpPr>
            <xdr:spPr>
              <a:xfrm>
                <a:off x="1524000" y="3771899"/>
                <a:ext cx="7267575" cy="238125"/>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IN" sz="1100"/>
              </a:p>
            </xdr:txBody>
          </xdr:sp>
        </xdr:grpSp>
        <xdr:sp macro="" textlink="">
          <xdr:nvSpPr>
            <xdr:cNvPr id="10" name="TextBox 9"/>
            <xdr:cNvSpPr txBox="1"/>
          </xdr:nvSpPr>
          <xdr:spPr>
            <a:xfrm>
              <a:off x="981075" y="3448050"/>
              <a:ext cx="804516" cy="313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500" b="1">
                  <a:solidFill>
                    <a:srgbClr val="C00000"/>
                  </a:solidFill>
                  <a:latin typeface="Arial" pitchFamily="34" charset="0"/>
                  <a:cs typeface="Arial" pitchFamily="34" charset="0"/>
                </a:rPr>
                <a:t>MINUS</a:t>
              </a:r>
            </a:p>
          </xdr:txBody>
        </xdr:sp>
      </xdr:grpSp>
      <xdr:cxnSp macro="">
        <xdr:nvCxnSpPr>
          <xdr:cNvPr id="14" name="Straight Arrow Connector 13"/>
          <xdr:cNvCxnSpPr/>
        </xdr:nvCxnSpPr>
        <xdr:spPr>
          <a:xfrm>
            <a:off x="1228725" y="1219200"/>
            <a:ext cx="676275" cy="18954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xdr:cNvSpPr txBox="1"/>
        </xdr:nvSpPr>
        <xdr:spPr>
          <a:xfrm>
            <a:off x="3400425" y="2124101"/>
            <a:ext cx="4854919" cy="312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500" b="1" u="sng">
                <a:solidFill>
                  <a:srgbClr val="C00000"/>
                </a:solidFill>
                <a:latin typeface="Arial" pitchFamily="34" charset="0"/>
                <a:cs typeface="Arial" pitchFamily="34" charset="0"/>
              </a:rPr>
              <a:t>Sample Cash Flow Statement (from Annual</a:t>
            </a:r>
            <a:r>
              <a:rPr lang="en-IN" sz="1500" b="1" u="sng" baseline="0">
                <a:solidFill>
                  <a:srgbClr val="C00000"/>
                </a:solidFill>
                <a:latin typeface="Arial" pitchFamily="34" charset="0"/>
                <a:cs typeface="Arial" pitchFamily="34" charset="0"/>
              </a:rPr>
              <a:t> Report)</a:t>
            </a:r>
            <a:endParaRPr lang="en-IN" sz="1500" b="1" u="sng">
              <a:solidFill>
                <a:srgbClr val="C00000"/>
              </a:solidFill>
              <a:latin typeface="Arial" pitchFamily="34" charset="0"/>
              <a:cs typeface="Arial" pitchFamily="34" charset="0"/>
            </a:endParaRPr>
          </a:p>
        </xdr:txBody>
      </xdr:sp>
    </xdr:grpSp>
    <xdr:clientData/>
  </xdr:twoCellAnchor>
  <xdr:twoCellAnchor>
    <xdr:from>
      <xdr:col>11</xdr:col>
      <xdr:colOff>66676</xdr:colOff>
      <xdr:row>5</xdr:row>
      <xdr:rowOff>95250</xdr:rowOff>
    </xdr:from>
    <xdr:to>
      <xdr:col>12</xdr:col>
      <xdr:colOff>628650</xdr:colOff>
      <xdr:row>5</xdr:row>
      <xdr:rowOff>95250</xdr:rowOff>
    </xdr:to>
    <xdr:cxnSp macro="">
      <xdr:nvCxnSpPr>
        <xdr:cNvPr id="13" name="Straight Arrow Connector 12"/>
        <xdr:cNvCxnSpPr/>
      </xdr:nvCxnSpPr>
      <xdr:spPr>
        <a:xfrm flipH="1">
          <a:off x="9039226" y="1133475"/>
          <a:ext cx="1171574"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3</xdr:row>
      <xdr:rowOff>95250</xdr:rowOff>
    </xdr:from>
    <xdr:to>
      <xdr:col>13</xdr:col>
      <xdr:colOff>419100</xdr:colOff>
      <xdr:row>3</xdr:row>
      <xdr:rowOff>95250</xdr:rowOff>
    </xdr:to>
    <xdr:cxnSp macro="">
      <xdr:nvCxnSpPr>
        <xdr:cNvPr id="3" name="Straight Arrow Connector 2"/>
        <xdr:cNvCxnSpPr/>
      </xdr:nvCxnSpPr>
      <xdr:spPr>
        <a:xfrm flipH="1">
          <a:off x="8001000" y="752475"/>
          <a:ext cx="1266825"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114301</xdr:colOff>
      <xdr:row>3</xdr:row>
      <xdr:rowOff>95250</xdr:rowOff>
    </xdr:from>
    <xdr:to>
      <xdr:col>13</xdr:col>
      <xdr:colOff>447675</xdr:colOff>
      <xdr:row>4</xdr:row>
      <xdr:rowOff>95250</xdr:rowOff>
    </xdr:to>
    <xdr:cxnSp macro="">
      <xdr:nvCxnSpPr>
        <xdr:cNvPr id="4" name="Straight Arrow Connector 3"/>
        <xdr:cNvCxnSpPr/>
      </xdr:nvCxnSpPr>
      <xdr:spPr>
        <a:xfrm flipH="1">
          <a:off x="7991476" y="752475"/>
          <a:ext cx="1304924" cy="19050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152399</xdr:colOff>
      <xdr:row>10</xdr:row>
      <xdr:rowOff>95250</xdr:rowOff>
    </xdr:from>
    <xdr:to>
      <xdr:col>13</xdr:col>
      <xdr:colOff>447674</xdr:colOff>
      <xdr:row>10</xdr:row>
      <xdr:rowOff>95250</xdr:rowOff>
    </xdr:to>
    <xdr:cxnSp macro="">
      <xdr:nvCxnSpPr>
        <xdr:cNvPr id="6" name="Straight Arrow Connector 5"/>
        <xdr:cNvCxnSpPr/>
      </xdr:nvCxnSpPr>
      <xdr:spPr>
        <a:xfrm flipH="1">
          <a:off x="8029574" y="2114550"/>
          <a:ext cx="1266825"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123824</xdr:colOff>
      <xdr:row>16</xdr:row>
      <xdr:rowOff>114300</xdr:rowOff>
    </xdr:from>
    <xdr:to>
      <xdr:col>13</xdr:col>
      <xdr:colOff>419099</xdr:colOff>
      <xdr:row>16</xdr:row>
      <xdr:rowOff>114300</xdr:rowOff>
    </xdr:to>
    <xdr:cxnSp macro="">
      <xdr:nvCxnSpPr>
        <xdr:cNvPr id="8" name="Straight Arrow Connector 7"/>
        <xdr:cNvCxnSpPr/>
      </xdr:nvCxnSpPr>
      <xdr:spPr>
        <a:xfrm flipH="1">
          <a:off x="8000999" y="3324225"/>
          <a:ext cx="1266825" cy="0"/>
        </a:xfrm>
        <a:prstGeom prst="straightConnector1">
          <a:avLst/>
        </a:prstGeom>
        <a:ln w="222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shal/Business/Safal%20Niveshak/Investing%20Excels%20&amp;%20Templates/OSV_DCF_Spreadsheet_Free-201007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CF Valuation"/>
      <sheetName val="Data"/>
    </sheetNames>
    <sheetDataSet>
      <sheetData sheetId="0"/>
      <sheetData sheetId="1">
        <row r="13">
          <cell r="N13">
            <v>0.15</v>
          </cell>
        </row>
        <row r="14">
          <cell r="N14">
            <v>0.12</v>
          </cell>
        </row>
        <row r="15">
          <cell r="N15">
            <v>0.09</v>
          </cell>
        </row>
        <row r="16">
          <cell r="N16">
            <v>0.05</v>
          </cell>
        </row>
      </sheetData>
      <sheetData sheetId="2">
        <row r="1">
          <cell r="C1" t="str">
            <v>Financial Data</v>
          </cell>
        </row>
        <row r="2">
          <cell r="A2" t="str">
            <v>AAPL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afalniveshak.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28"/>
  <sheetViews>
    <sheetView tabSelected="1" workbookViewId="0">
      <selection sqref="A1:B5"/>
    </sheetView>
  </sheetViews>
  <sheetFormatPr defaultRowHeight="15"/>
  <cols>
    <col min="1" max="1" width="58.85546875" style="193" customWidth="1"/>
    <col min="2" max="2" width="15" style="193" bestFit="1" customWidth="1"/>
    <col min="3" max="16384" width="9.140625" style="193"/>
  </cols>
  <sheetData>
    <row r="1" spans="1:13">
      <c r="A1" s="241" t="s">
        <v>258</v>
      </c>
      <c r="B1" s="242"/>
    </row>
    <row r="2" spans="1:13" ht="15" customHeight="1" thickBot="1">
      <c r="A2" s="243"/>
      <c r="B2" s="244"/>
    </row>
    <row r="3" spans="1:13" ht="15" customHeight="1">
      <c r="A3" s="243"/>
      <c r="B3" s="244"/>
      <c r="E3" s="218" t="s">
        <v>260</v>
      </c>
      <c r="F3" s="219"/>
      <c r="G3" s="219"/>
      <c r="H3" s="219"/>
      <c r="I3" s="219"/>
      <c r="J3" s="219"/>
      <c r="K3" s="219"/>
      <c r="L3" s="219"/>
      <c r="M3" s="220"/>
    </row>
    <row r="4" spans="1:13" ht="15" customHeight="1">
      <c r="A4" s="243"/>
      <c r="B4" s="244"/>
      <c r="E4" s="221"/>
      <c r="F4" s="222"/>
      <c r="G4" s="222"/>
      <c r="H4" s="222"/>
      <c r="I4" s="222"/>
      <c r="J4" s="222"/>
      <c r="K4" s="222"/>
      <c r="L4" s="222"/>
      <c r="M4" s="223"/>
    </row>
    <row r="5" spans="1:13" ht="15.75" customHeight="1" thickBot="1">
      <c r="A5" s="245"/>
      <c r="B5" s="246"/>
      <c r="E5" s="221"/>
      <c r="F5" s="222"/>
      <c r="G5" s="222"/>
      <c r="H5" s="222"/>
      <c r="I5" s="222"/>
      <c r="J5" s="222"/>
      <c r="K5" s="222"/>
      <c r="L5" s="222"/>
      <c r="M5" s="223"/>
    </row>
    <row r="6" spans="1:13" ht="16.5" thickBot="1">
      <c r="A6" s="247" t="s">
        <v>257</v>
      </c>
      <c r="B6" s="247"/>
      <c r="E6" s="221"/>
      <c r="F6" s="222"/>
      <c r="G6" s="222"/>
      <c r="H6" s="222"/>
      <c r="I6" s="222"/>
      <c r="J6" s="222"/>
      <c r="K6" s="222"/>
      <c r="L6" s="222"/>
      <c r="M6" s="223"/>
    </row>
    <row r="7" spans="1:13" ht="20.25" thickBot="1">
      <c r="A7" s="235" t="s">
        <v>233</v>
      </c>
      <c r="B7" s="236"/>
      <c r="E7" s="224"/>
      <c r="F7" s="225"/>
      <c r="G7" s="225"/>
      <c r="H7" s="225"/>
      <c r="I7" s="225"/>
      <c r="J7" s="225"/>
      <c r="K7" s="225"/>
      <c r="L7" s="225"/>
      <c r="M7" s="226"/>
    </row>
    <row r="8" spans="1:13" ht="15.75" customHeight="1">
      <c r="A8" s="239" t="s">
        <v>237</v>
      </c>
      <c r="B8" s="240"/>
    </row>
    <row r="9" spans="1:13" ht="16.5" thickBot="1">
      <c r="A9" s="199" t="s">
        <v>222</v>
      </c>
      <c r="B9" s="200" t="s">
        <v>223</v>
      </c>
    </row>
    <row r="10" spans="1:13" ht="15.75">
      <c r="A10" s="135" t="s">
        <v>218</v>
      </c>
      <c r="B10" s="203" t="s">
        <v>209</v>
      </c>
      <c r="E10" s="218" t="s">
        <v>261</v>
      </c>
      <c r="F10" s="227"/>
      <c r="G10" s="227"/>
      <c r="H10" s="227"/>
      <c r="I10" s="227"/>
      <c r="J10" s="227"/>
      <c r="K10" s="227"/>
      <c r="L10" s="227"/>
      <c r="M10" s="228"/>
    </row>
    <row r="11" spans="1:13" ht="15.75" customHeight="1">
      <c r="A11" s="135" t="s">
        <v>216</v>
      </c>
      <c r="B11" s="203" t="s">
        <v>217</v>
      </c>
      <c r="E11" s="229"/>
      <c r="F11" s="230"/>
      <c r="G11" s="230"/>
      <c r="H11" s="230"/>
      <c r="I11" s="230"/>
      <c r="J11" s="230"/>
      <c r="K11" s="230"/>
      <c r="L11" s="230"/>
      <c r="M11" s="231"/>
    </row>
    <row r="12" spans="1:13" ht="15.75">
      <c r="A12" s="204" t="s">
        <v>240</v>
      </c>
      <c r="B12" s="203" t="s">
        <v>220</v>
      </c>
      <c r="E12" s="229"/>
      <c r="F12" s="230"/>
      <c r="G12" s="230"/>
      <c r="H12" s="230"/>
      <c r="I12" s="230"/>
      <c r="J12" s="230"/>
      <c r="K12" s="230"/>
      <c r="L12" s="230"/>
      <c r="M12" s="231"/>
    </row>
    <row r="13" spans="1:13" ht="16.5" thickBot="1">
      <c r="A13" s="135" t="s">
        <v>219</v>
      </c>
      <c r="B13" s="205">
        <v>4665</v>
      </c>
      <c r="E13" s="232"/>
      <c r="F13" s="233"/>
      <c r="G13" s="233"/>
      <c r="H13" s="233"/>
      <c r="I13" s="233"/>
      <c r="J13" s="233"/>
      <c r="K13" s="233"/>
      <c r="L13" s="233"/>
      <c r="M13" s="234"/>
    </row>
    <row r="14" spans="1:13" ht="15.75">
      <c r="A14" s="135" t="s">
        <v>228</v>
      </c>
      <c r="B14" s="205">
        <v>10</v>
      </c>
    </row>
    <row r="15" spans="1:13" ht="15.75" customHeight="1" thickBot="1">
      <c r="A15" s="135" t="s">
        <v>221</v>
      </c>
      <c r="B15" s="205">
        <v>9.5919778999999998</v>
      </c>
    </row>
    <row r="16" spans="1:13" ht="15.75">
      <c r="A16" s="135" t="s">
        <v>225</v>
      </c>
      <c r="B16" s="206">
        <f>B13*B15</f>
        <v>44746.576903499998</v>
      </c>
      <c r="E16" s="218" t="s">
        <v>262</v>
      </c>
      <c r="F16" s="219"/>
      <c r="G16" s="219"/>
      <c r="H16" s="219"/>
      <c r="I16" s="219"/>
      <c r="J16" s="219"/>
      <c r="K16" s="219"/>
      <c r="L16" s="219"/>
      <c r="M16" s="220"/>
    </row>
    <row r="17" spans="1:13" ht="15.75">
      <c r="A17" s="135" t="s">
        <v>226</v>
      </c>
      <c r="B17" s="207">
        <v>0.52790000000000004</v>
      </c>
      <c r="E17" s="221"/>
      <c r="F17" s="222"/>
      <c r="G17" s="222"/>
      <c r="H17" s="222"/>
      <c r="I17" s="222"/>
      <c r="J17" s="222"/>
      <c r="K17" s="222"/>
      <c r="L17" s="222"/>
      <c r="M17" s="223"/>
    </row>
    <row r="18" spans="1:13" ht="16.5" thickBot="1">
      <c r="A18" s="208" t="s">
        <v>227</v>
      </c>
      <c r="B18" s="209">
        <v>0.1767</v>
      </c>
      <c r="E18" s="221"/>
      <c r="F18" s="222"/>
      <c r="G18" s="222"/>
      <c r="H18" s="222"/>
      <c r="I18" s="222"/>
      <c r="J18" s="222"/>
      <c r="K18" s="222"/>
      <c r="L18" s="222"/>
      <c r="M18" s="223"/>
    </row>
    <row r="19" spans="1:13" ht="16.5" customHeight="1" thickBot="1">
      <c r="A19" s="192"/>
      <c r="B19" s="194"/>
      <c r="E19" s="221"/>
      <c r="F19" s="222"/>
      <c r="G19" s="222"/>
      <c r="H19" s="222"/>
      <c r="I19" s="222"/>
      <c r="J19" s="222"/>
      <c r="K19" s="222"/>
      <c r="L19" s="222"/>
      <c r="M19" s="223"/>
    </row>
    <row r="20" spans="1:13" ht="19.5">
      <c r="A20" s="237" t="s">
        <v>224</v>
      </c>
      <c r="B20" s="238"/>
      <c r="E20" s="221"/>
      <c r="F20" s="222"/>
      <c r="G20" s="222"/>
      <c r="H20" s="222"/>
      <c r="I20" s="222"/>
      <c r="J20" s="222"/>
      <c r="K20" s="222"/>
      <c r="L20" s="222"/>
      <c r="M20" s="223"/>
    </row>
    <row r="21" spans="1:13" ht="15.75">
      <c r="A21" s="199" t="s">
        <v>222</v>
      </c>
      <c r="B21" s="200" t="s">
        <v>223</v>
      </c>
      <c r="E21" s="221"/>
      <c r="F21" s="222"/>
      <c r="G21" s="222"/>
      <c r="H21" s="222"/>
      <c r="I21" s="222"/>
      <c r="J21" s="222"/>
      <c r="K21" s="222"/>
      <c r="L21" s="222"/>
      <c r="M21" s="223"/>
    </row>
    <row r="22" spans="1:13" ht="15.75">
      <c r="A22" s="135" t="s">
        <v>229</v>
      </c>
      <c r="B22" s="210">
        <f>'P &amp; L Account'!L4</f>
        <v>0.2035740272460167</v>
      </c>
      <c r="E22" s="221"/>
      <c r="F22" s="222"/>
      <c r="G22" s="222"/>
      <c r="H22" s="222"/>
      <c r="I22" s="222"/>
      <c r="J22" s="222"/>
      <c r="K22" s="222"/>
      <c r="L22" s="222"/>
      <c r="M22" s="223"/>
    </row>
    <row r="23" spans="1:13" ht="15.75">
      <c r="A23" s="135" t="s">
        <v>230</v>
      </c>
      <c r="B23" s="210">
        <f>'P &amp; L Account'!L15</f>
        <v>0.18064007376451774</v>
      </c>
      <c r="E23" s="221"/>
      <c r="F23" s="222"/>
      <c r="G23" s="222"/>
      <c r="H23" s="222"/>
      <c r="I23" s="222"/>
      <c r="J23" s="222"/>
      <c r="K23" s="222"/>
      <c r="L23" s="222"/>
      <c r="M23" s="223"/>
    </row>
    <row r="24" spans="1:13" ht="16.5" thickBot="1">
      <c r="A24" s="135" t="s">
        <v>231</v>
      </c>
      <c r="B24" s="210">
        <f>'P &amp; L Account'!L27</f>
        <v>0.24354003739963503</v>
      </c>
      <c r="E24" s="224"/>
      <c r="F24" s="225"/>
      <c r="G24" s="225"/>
      <c r="H24" s="225"/>
      <c r="I24" s="225"/>
      <c r="J24" s="225"/>
      <c r="K24" s="225"/>
      <c r="L24" s="225"/>
      <c r="M24" s="226"/>
    </row>
    <row r="25" spans="1:13" ht="15.75">
      <c r="A25" s="135" t="s">
        <v>259</v>
      </c>
      <c r="B25" s="211">
        <f>AVERAGE(Ratios!B34:K34)</f>
        <v>0.27442334096690296</v>
      </c>
    </row>
    <row r="26" spans="1:13" ht="16.5" thickBot="1">
      <c r="A26" s="208" t="s">
        <v>232</v>
      </c>
      <c r="B26" s="212">
        <f>AVERAGE(Ratios!B17:K17)</f>
        <v>0.35424172529433195</v>
      </c>
    </row>
    <row r="28" spans="1:13">
      <c r="A28" s="217" t="s">
        <v>266</v>
      </c>
    </row>
  </sheetData>
  <mergeCells count="8">
    <mergeCell ref="E3:M7"/>
    <mergeCell ref="E10:M13"/>
    <mergeCell ref="E16:M24"/>
    <mergeCell ref="A7:B7"/>
    <mergeCell ref="A20:B20"/>
    <mergeCell ref="A8:B8"/>
    <mergeCell ref="A1:B5"/>
    <mergeCell ref="A6:B6"/>
  </mergeCells>
  <hyperlinks>
    <hyperlink ref="A6"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dimension ref="A1:B26"/>
  <sheetViews>
    <sheetView workbookViewId="0">
      <selection sqref="A1:B1"/>
    </sheetView>
  </sheetViews>
  <sheetFormatPr defaultRowHeight="15"/>
  <cols>
    <col min="1" max="1" width="65.28515625" style="3" bestFit="1" customWidth="1"/>
    <col min="2" max="2" width="121.28515625" style="3" customWidth="1"/>
    <col min="3" max="3" width="92.5703125" style="3" bestFit="1" customWidth="1"/>
    <col min="4" max="16384" width="9.140625" style="3"/>
  </cols>
  <sheetData>
    <row r="1" spans="1:2" s="43" customFormat="1" ht="27" thickBot="1">
      <c r="A1" s="248" t="s">
        <v>248</v>
      </c>
      <c r="B1" s="249"/>
    </row>
    <row r="2" spans="1:2" ht="15.75" thickBot="1">
      <c r="A2" s="250" t="s">
        <v>205</v>
      </c>
      <c r="B2" s="250"/>
    </row>
    <row r="3" spans="1:2" ht="15.75">
      <c r="A3" s="171" t="s">
        <v>196</v>
      </c>
      <c r="B3" s="172" t="s">
        <v>197</v>
      </c>
    </row>
    <row r="4" spans="1:2" ht="75.75" thickBot="1">
      <c r="A4" s="173" t="s">
        <v>184</v>
      </c>
      <c r="B4" s="174" t="s">
        <v>193</v>
      </c>
    </row>
    <row r="5" spans="1:2" ht="15.75" thickBot="1">
      <c r="A5" s="44"/>
      <c r="B5" s="45"/>
    </row>
    <row r="6" spans="1:2" ht="90.75" thickBot="1">
      <c r="A6" s="175" t="s">
        <v>194</v>
      </c>
      <c r="B6" s="176" t="s">
        <v>201</v>
      </c>
    </row>
    <row r="7" spans="1:2" ht="16.5" thickBot="1">
      <c r="A7" s="46"/>
      <c r="B7" s="44"/>
    </row>
    <row r="8" spans="1:2" ht="45.75" thickBot="1">
      <c r="A8" s="175" t="s">
        <v>185</v>
      </c>
      <c r="B8" s="176" t="s">
        <v>241</v>
      </c>
    </row>
    <row r="9" spans="1:2" ht="16.5" thickBot="1">
      <c r="A9" s="46"/>
      <c r="B9" s="44"/>
    </row>
    <row r="10" spans="1:2" ht="90.75" thickBot="1">
      <c r="A10" s="175" t="s">
        <v>186</v>
      </c>
      <c r="B10" s="176" t="s">
        <v>242</v>
      </c>
    </row>
    <row r="11" spans="1:2" ht="15.75">
      <c r="A11" s="46"/>
      <c r="B11" s="44"/>
    </row>
    <row r="12" spans="1:2" ht="60">
      <c r="A12" s="47" t="s">
        <v>187</v>
      </c>
      <c r="B12" s="39" t="s">
        <v>243</v>
      </c>
    </row>
    <row r="13" spans="1:2" ht="16.5" thickBot="1">
      <c r="A13" s="46"/>
      <c r="B13" s="44"/>
    </row>
    <row r="14" spans="1:2" ht="60.75" thickBot="1">
      <c r="A14" s="175" t="s">
        <v>188</v>
      </c>
      <c r="B14" s="176" t="s">
        <v>254</v>
      </c>
    </row>
    <row r="15" spans="1:2" ht="16.5" thickBot="1">
      <c r="A15" s="46"/>
      <c r="B15" s="44"/>
    </row>
    <row r="16" spans="1:2" ht="45.75" thickBot="1">
      <c r="A16" s="175" t="s">
        <v>189</v>
      </c>
      <c r="B16" s="176" t="s">
        <v>244</v>
      </c>
    </row>
    <row r="17" spans="1:2" ht="16.5" thickBot="1">
      <c r="A17" s="46"/>
      <c r="B17" s="44"/>
    </row>
    <row r="18" spans="1:2" ht="45.75" thickBot="1">
      <c r="A18" s="175" t="s">
        <v>190</v>
      </c>
      <c r="B18" s="176" t="s">
        <v>245</v>
      </c>
    </row>
    <row r="19" spans="1:2" ht="16.5" thickBot="1">
      <c r="A19" s="46"/>
      <c r="B19" s="44"/>
    </row>
    <row r="20" spans="1:2" ht="45.75" thickBot="1">
      <c r="A20" s="175" t="s">
        <v>191</v>
      </c>
      <c r="B20" s="176" t="s">
        <v>255</v>
      </c>
    </row>
    <row r="21" spans="1:2" ht="16.5" thickBot="1">
      <c r="A21" s="46"/>
      <c r="B21" s="44"/>
    </row>
    <row r="22" spans="1:2" ht="75.75" thickBot="1">
      <c r="A22" s="175" t="s">
        <v>192</v>
      </c>
      <c r="B22" s="176" t="s">
        <v>246</v>
      </c>
    </row>
    <row r="23" spans="1:2" ht="15.75" thickBot="1">
      <c r="A23" s="214"/>
      <c r="B23" s="214"/>
    </row>
    <row r="24" spans="1:2" ht="60.75" thickBot="1">
      <c r="A24" s="175" t="s">
        <v>198</v>
      </c>
      <c r="B24" s="176" t="s">
        <v>247</v>
      </c>
    </row>
    <row r="25" spans="1:2" ht="15.75" thickBot="1">
      <c r="A25" s="45"/>
      <c r="B25" s="45"/>
    </row>
    <row r="26" spans="1:2" ht="16.5" thickBot="1">
      <c r="A26" s="175" t="s">
        <v>199</v>
      </c>
      <c r="B26" s="176" t="s">
        <v>200</v>
      </c>
    </row>
  </sheetData>
  <mergeCells count="2">
    <mergeCell ref="A1:B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W34"/>
  <sheetViews>
    <sheetView workbookViewId="0">
      <selection sqref="A1:K1"/>
    </sheetView>
  </sheetViews>
  <sheetFormatPr defaultRowHeight="15"/>
  <cols>
    <col min="1" max="1" width="52.7109375" style="3" bestFit="1" customWidth="1"/>
    <col min="2" max="4" width="6.5703125" style="3" bestFit="1" customWidth="1"/>
    <col min="5" max="11" width="8.42578125" style="3" bestFit="1" customWidth="1"/>
    <col min="12" max="12" width="9.140625" style="3"/>
    <col min="13" max="13" width="20.42578125" style="3" bestFit="1" customWidth="1"/>
    <col min="14" max="14" width="18.28515625" style="3" bestFit="1" customWidth="1"/>
    <col min="15" max="15" width="14.85546875" style="3" bestFit="1" customWidth="1"/>
    <col min="16" max="16384" width="9.140625" style="3"/>
  </cols>
  <sheetData>
    <row r="1" spans="1:49" ht="20.25" thickBot="1">
      <c r="A1" s="251" t="s">
        <v>207</v>
      </c>
      <c r="B1" s="252"/>
      <c r="C1" s="252"/>
      <c r="D1" s="252"/>
      <c r="E1" s="252"/>
      <c r="F1" s="252"/>
      <c r="G1" s="252"/>
      <c r="H1" s="252"/>
      <c r="I1" s="252"/>
      <c r="J1" s="252"/>
      <c r="K1" s="253"/>
    </row>
    <row r="2" spans="1:49" ht="15.75" thickBot="1">
      <c r="A2" s="254" t="s">
        <v>237</v>
      </c>
      <c r="B2" s="255"/>
      <c r="C2" s="255"/>
      <c r="D2" s="255"/>
      <c r="E2" s="255"/>
      <c r="F2" s="255"/>
      <c r="G2" s="255"/>
      <c r="H2" s="255"/>
      <c r="I2" s="255"/>
      <c r="J2" s="255"/>
      <c r="K2" s="256"/>
    </row>
    <row r="3" spans="1:49" ht="15.75">
      <c r="A3" s="98" t="s">
        <v>206</v>
      </c>
      <c r="B3" s="99" t="s">
        <v>25</v>
      </c>
      <c r="C3" s="99" t="s">
        <v>24</v>
      </c>
      <c r="D3" s="99" t="s">
        <v>26</v>
      </c>
      <c r="E3" s="99" t="s">
        <v>27</v>
      </c>
      <c r="F3" s="99" t="s">
        <v>28</v>
      </c>
      <c r="G3" s="99" t="s">
        <v>17</v>
      </c>
      <c r="H3" s="99" t="s">
        <v>18</v>
      </c>
      <c r="I3" s="99" t="s">
        <v>19</v>
      </c>
      <c r="J3" s="99" t="s">
        <v>20</v>
      </c>
      <c r="K3" s="100" t="s">
        <v>21</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ht="15.75">
      <c r="A4" s="163" t="s">
        <v>106</v>
      </c>
      <c r="B4" s="160"/>
      <c r="C4" s="160"/>
      <c r="D4" s="160"/>
      <c r="E4" s="160"/>
      <c r="F4" s="160"/>
      <c r="G4" s="160"/>
      <c r="H4" s="160"/>
      <c r="I4" s="160"/>
      <c r="J4" s="160"/>
      <c r="K4" s="164"/>
    </row>
    <row r="5" spans="1:49">
      <c r="A5" s="181" t="s">
        <v>10</v>
      </c>
      <c r="B5" s="178">
        <v>64.19</v>
      </c>
      <c r="C5" s="178">
        <v>95.92</v>
      </c>
      <c r="D5" s="178">
        <v>95.92</v>
      </c>
      <c r="E5" s="178">
        <v>95.92</v>
      </c>
      <c r="F5" s="178">
        <v>95.92</v>
      </c>
      <c r="G5" s="178">
        <v>95.92</v>
      </c>
      <c r="H5" s="178">
        <v>95.92</v>
      </c>
      <c r="I5" s="178">
        <v>95.92</v>
      </c>
      <c r="J5" s="178">
        <v>95.92</v>
      </c>
      <c r="K5" s="179">
        <v>95.92</v>
      </c>
      <c r="L5" s="2"/>
      <c r="M5" s="2"/>
    </row>
    <row r="6" spans="1:49">
      <c r="A6" s="181" t="s">
        <v>102</v>
      </c>
      <c r="B6" s="178">
        <v>413.35</v>
      </c>
      <c r="C6" s="178">
        <v>433.56</v>
      </c>
      <c r="D6" s="178">
        <v>471.25999999999993</v>
      </c>
      <c r="E6" s="178">
        <v>550.33000000000004</v>
      </c>
      <c r="F6" s="178">
        <v>681.87</v>
      </c>
      <c r="G6" s="178">
        <v>886.45</v>
      </c>
      <c r="H6" s="178">
        <v>1107.25</v>
      </c>
      <c r="I6" s="178">
        <v>1614.06</v>
      </c>
      <c r="J6" s="178">
        <v>2091.5</v>
      </c>
      <c r="K6" s="179">
        <v>2652.58</v>
      </c>
      <c r="L6" s="2"/>
      <c r="M6" s="2"/>
    </row>
    <row r="7" spans="1:49" ht="15.75">
      <c r="A7" s="165" t="s">
        <v>15</v>
      </c>
      <c r="B7" s="152">
        <f t="shared" ref="B7:J7" si="0">B5+B6</f>
        <v>477.54</v>
      </c>
      <c r="C7" s="152">
        <f t="shared" si="0"/>
        <v>529.48</v>
      </c>
      <c r="D7" s="152">
        <f t="shared" si="0"/>
        <v>567.17999999999995</v>
      </c>
      <c r="E7" s="152">
        <f t="shared" si="0"/>
        <v>646.25</v>
      </c>
      <c r="F7" s="152">
        <f t="shared" si="0"/>
        <v>777.79</v>
      </c>
      <c r="G7" s="152">
        <f t="shared" si="0"/>
        <v>982.37</v>
      </c>
      <c r="H7" s="152">
        <f t="shared" si="0"/>
        <v>1203.17</v>
      </c>
      <c r="I7" s="152">
        <f t="shared" si="0"/>
        <v>1709.98</v>
      </c>
      <c r="J7" s="152">
        <f t="shared" si="0"/>
        <v>2187.42</v>
      </c>
      <c r="K7" s="166">
        <f>K5+K6</f>
        <v>2748.5</v>
      </c>
      <c r="L7" s="2"/>
      <c r="M7" s="2"/>
    </row>
    <row r="8" spans="1:49" ht="15.75">
      <c r="A8" s="167"/>
      <c r="B8" s="161"/>
      <c r="C8" s="161"/>
      <c r="D8" s="161"/>
      <c r="E8" s="161"/>
      <c r="F8" s="161"/>
      <c r="G8" s="161"/>
      <c r="H8" s="161"/>
      <c r="I8" s="161"/>
      <c r="J8" s="161"/>
      <c r="K8" s="168"/>
      <c r="L8" s="2"/>
      <c r="M8" s="2"/>
    </row>
    <row r="9" spans="1:49" ht="15.75">
      <c r="A9" s="184" t="s">
        <v>11</v>
      </c>
      <c r="B9" s="185">
        <v>75.150000000000006</v>
      </c>
      <c r="C9" s="185">
        <v>69.78</v>
      </c>
      <c r="D9" s="185">
        <v>63.85</v>
      </c>
      <c r="E9" s="185">
        <v>60.03</v>
      </c>
      <c r="F9" s="185">
        <v>60.08</v>
      </c>
      <c r="G9" s="185">
        <v>57.37</v>
      </c>
      <c r="H9" s="185">
        <v>75.569999999999993</v>
      </c>
      <c r="I9" s="185">
        <v>94.45</v>
      </c>
      <c r="J9" s="185">
        <v>109.89</v>
      </c>
      <c r="K9" s="186">
        <v>136.69</v>
      </c>
      <c r="L9" s="2"/>
      <c r="M9" s="2"/>
    </row>
    <row r="10" spans="1:49" ht="15.75">
      <c r="A10" s="167"/>
      <c r="B10" s="161"/>
      <c r="C10" s="161"/>
      <c r="D10" s="161"/>
      <c r="E10" s="161"/>
      <c r="F10" s="161"/>
      <c r="G10" s="161"/>
      <c r="H10" s="161"/>
      <c r="I10" s="161"/>
      <c r="J10" s="161"/>
      <c r="K10" s="168"/>
      <c r="L10" s="2"/>
      <c r="M10" s="2"/>
    </row>
    <row r="11" spans="1:49" ht="15.75">
      <c r="A11" s="165" t="s">
        <v>103</v>
      </c>
      <c r="B11" s="152"/>
      <c r="C11" s="152"/>
      <c r="D11" s="152"/>
      <c r="E11" s="152"/>
      <c r="F11" s="152"/>
      <c r="G11" s="152"/>
      <c r="H11" s="152"/>
      <c r="I11" s="152"/>
      <c r="J11" s="152"/>
      <c r="K11" s="166"/>
      <c r="L11" s="2"/>
      <c r="M11" s="2"/>
    </row>
    <row r="12" spans="1:49">
      <c r="A12" s="181" t="s">
        <v>104</v>
      </c>
      <c r="B12" s="178">
        <v>196.94</v>
      </c>
      <c r="C12" s="178">
        <v>160.23999999999998</v>
      </c>
      <c r="D12" s="178">
        <v>239.5</v>
      </c>
      <c r="E12" s="178">
        <v>261.27999999999997</v>
      </c>
      <c r="F12" s="178">
        <v>179.95000000000002</v>
      </c>
      <c r="G12" s="178">
        <v>179.21999999999997</v>
      </c>
      <c r="H12" s="178">
        <v>151.58000000000001</v>
      </c>
      <c r="I12" s="178">
        <v>104.41</v>
      </c>
      <c r="J12" s="178">
        <v>147.43</v>
      </c>
      <c r="K12" s="179">
        <v>147.66999999999999</v>
      </c>
      <c r="L12" s="2"/>
      <c r="M12" s="2"/>
    </row>
    <row r="13" spans="1:49">
      <c r="A13" s="140"/>
      <c r="B13" s="30"/>
      <c r="C13" s="30"/>
      <c r="D13" s="30"/>
      <c r="E13" s="30"/>
      <c r="F13" s="30"/>
      <c r="G13" s="30"/>
      <c r="H13" s="30"/>
      <c r="I13" s="30"/>
      <c r="J13" s="30"/>
      <c r="K13" s="149"/>
      <c r="L13" s="2"/>
      <c r="M13" s="2"/>
    </row>
    <row r="14" spans="1:49" ht="15.75">
      <c r="A14" s="165" t="s">
        <v>14</v>
      </c>
      <c r="B14" s="34">
        <f>SUM(B15:B18)</f>
        <v>513.80999999999995</v>
      </c>
      <c r="C14" s="34">
        <f t="shared" ref="C14:K14" si="1">SUM(C15:C18)</f>
        <v>581.12</v>
      </c>
      <c r="D14" s="34">
        <f t="shared" si="1"/>
        <v>617.80000000000007</v>
      </c>
      <c r="E14" s="34">
        <f t="shared" si="1"/>
        <v>704.59</v>
      </c>
      <c r="F14" s="34">
        <f t="shared" si="1"/>
        <v>979.46</v>
      </c>
      <c r="G14" s="34">
        <f t="shared" si="1"/>
        <v>1248.3200000000002</v>
      </c>
      <c r="H14" s="34">
        <f t="shared" si="1"/>
        <v>2516.71</v>
      </c>
      <c r="I14" s="34">
        <f t="shared" si="1"/>
        <v>3314.75</v>
      </c>
      <c r="J14" s="34">
        <f t="shared" si="1"/>
        <v>2080.66</v>
      </c>
      <c r="K14" s="154">
        <f t="shared" si="1"/>
        <v>2770.52</v>
      </c>
      <c r="L14" s="2"/>
      <c r="M14" s="2"/>
    </row>
    <row r="15" spans="1:49">
      <c r="A15" s="181" t="s">
        <v>108</v>
      </c>
      <c r="B15" s="178">
        <v>0</v>
      </c>
      <c r="C15" s="178">
        <v>9.0800000000000125</v>
      </c>
      <c r="D15" s="178">
        <v>0</v>
      </c>
      <c r="E15" s="178">
        <v>0</v>
      </c>
      <c r="F15" s="178">
        <v>126.22</v>
      </c>
      <c r="G15" s="178">
        <v>95.990000000000009</v>
      </c>
      <c r="H15" s="178">
        <v>157.04</v>
      </c>
      <c r="I15" s="178">
        <v>124.82</v>
      </c>
      <c r="J15" s="178">
        <v>0</v>
      </c>
      <c r="K15" s="179">
        <v>0</v>
      </c>
      <c r="L15" s="2"/>
      <c r="M15" s="2"/>
    </row>
    <row r="16" spans="1:49">
      <c r="A16" s="181" t="s">
        <v>105</v>
      </c>
      <c r="B16" s="178">
        <v>232.21</v>
      </c>
      <c r="C16" s="178">
        <v>272.43</v>
      </c>
      <c r="D16" s="178">
        <v>294.51</v>
      </c>
      <c r="E16" s="178">
        <v>329.63</v>
      </c>
      <c r="F16" s="178">
        <v>448.53</v>
      </c>
      <c r="G16" s="178">
        <v>571.96</v>
      </c>
      <c r="H16" s="178">
        <v>554.15</v>
      </c>
      <c r="I16" s="178">
        <v>718.32</v>
      </c>
      <c r="J16" s="178">
        <v>1087.44</v>
      </c>
      <c r="K16" s="179">
        <v>1296.83</v>
      </c>
      <c r="L16" s="2"/>
      <c r="M16" s="2"/>
    </row>
    <row r="17" spans="1:13">
      <c r="A17" s="181" t="s">
        <v>117</v>
      </c>
      <c r="B17" s="178">
        <v>176.80999999999997</v>
      </c>
      <c r="C17" s="178">
        <v>163.45999999999998</v>
      </c>
      <c r="D17" s="178">
        <v>206.09000000000003</v>
      </c>
      <c r="E17" s="178">
        <v>249.11</v>
      </c>
      <c r="F17" s="178">
        <v>338.51</v>
      </c>
      <c r="G17" s="178">
        <v>413.96999999999991</v>
      </c>
      <c r="H17" s="178">
        <v>460.53</v>
      </c>
      <c r="I17" s="178">
        <v>661.33</v>
      </c>
      <c r="J17" s="178">
        <v>703.02</v>
      </c>
      <c r="K17" s="179">
        <v>1107.1399999999999</v>
      </c>
      <c r="L17" s="2"/>
      <c r="M17" s="2"/>
    </row>
    <row r="18" spans="1:13">
      <c r="A18" s="181" t="s">
        <v>116</v>
      </c>
      <c r="B18" s="178">
        <v>104.79</v>
      </c>
      <c r="C18" s="178">
        <v>136.15</v>
      </c>
      <c r="D18" s="178">
        <v>117.2</v>
      </c>
      <c r="E18" s="178">
        <v>125.85</v>
      </c>
      <c r="F18" s="178">
        <v>66.2</v>
      </c>
      <c r="G18" s="178">
        <v>166.4</v>
      </c>
      <c r="H18" s="178">
        <v>1344.99</v>
      </c>
      <c r="I18" s="178">
        <v>1810.28</v>
      </c>
      <c r="J18" s="178">
        <v>290.2</v>
      </c>
      <c r="K18" s="179">
        <v>366.55</v>
      </c>
      <c r="L18" s="2"/>
      <c r="M18" s="2"/>
    </row>
    <row r="19" spans="1:13" ht="15.75">
      <c r="A19" s="169"/>
      <c r="B19" s="55"/>
      <c r="C19" s="55"/>
      <c r="D19" s="55"/>
      <c r="E19" s="55"/>
      <c r="F19" s="55"/>
      <c r="G19" s="55"/>
      <c r="H19" s="55"/>
      <c r="I19" s="55"/>
      <c r="J19" s="55"/>
      <c r="K19" s="103"/>
      <c r="L19" s="2"/>
      <c r="M19" s="7"/>
    </row>
    <row r="20" spans="1:13" ht="15.75">
      <c r="A20" s="163" t="s">
        <v>107</v>
      </c>
      <c r="B20" s="162"/>
      <c r="C20" s="162"/>
      <c r="D20" s="162"/>
      <c r="E20" s="162"/>
      <c r="F20" s="162"/>
      <c r="G20" s="162"/>
      <c r="H20" s="162"/>
      <c r="I20" s="162"/>
      <c r="J20" s="162"/>
      <c r="K20" s="170"/>
      <c r="L20" s="2"/>
      <c r="M20" s="2"/>
    </row>
    <row r="21" spans="1:13" ht="15.75">
      <c r="A21" s="165" t="s">
        <v>109</v>
      </c>
      <c r="B21" s="34">
        <f>SUM(B22:B25)</f>
        <v>35</v>
      </c>
      <c r="C21" s="34">
        <f t="shared" ref="C21:K21" si="2">SUM(C22:C25)</f>
        <v>34</v>
      </c>
      <c r="D21" s="34">
        <f t="shared" si="2"/>
        <v>37.300000000000004</v>
      </c>
      <c r="E21" s="34">
        <f t="shared" si="2"/>
        <v>40.930000000000007</v>
      </c>
      <c r="F21" s="34">
        <f t="shared" si="2"/>
        <v>44.923000000000009</v>
      </c>
      <c r="G21" s="34">
        <f t="shared" si="2"/>
        <v>49.315300000000015</v>
      </c>
      <c r="H21" s="34">
        <f t="shared" si="2"/>
        <v>54.146830000000008</v>
      </c>
      <c r="I21" s="34">
        <f t="shared" si="2"/>
        <v>59.461513000000018</v>
      </c>
      <c r="J21" s="34">
        <f t="shared" si="2"/>
        <v>65.307664300000027</v>
      </c>
      <c r="K21" s="154">
        <f t="shared" si="2"/>
        <v>71.738430730000047</v>
      </c>
      <c r="L21" s="2"/>
      <c r="M21" s="2"/>
    </row>
    <row r="22" spans="1:13">
      <c r="A22" s="181" t="s">
        <v>110</v>
      </c>
      <c r="B22" s="178">
        <v>20</v>
      </c>
      <c r="C22" s="178">
        <f t="shared" ref="C22:K22" si="3">B22*1.1</f>
        <v>22</v>
      </c>
      <c r="D22" s="178">
        <f t="shared" si="3"/>
        <v>24.200000000000003</v>
      </c>
      <c r="E22" s="178">
        <f t="shared" si="3"/>
        <v>26.620000000000005</v>
      </c>
      <c r="F22" s="178">
        <f t="shared" si="3"/>
        <v>29.282000000000007</v>
      </c>
      <c r="G22" s="178">
        <f t="shared" si="3"/>
        <v>32.210200000000007</v>
      </c>
      <c r="H22" s="178">
        <f t="shared" si="3"/>
        <v>35.43122000000001</v>
      </c>
      <c r="I22" s="178">
        <f t="shared" si="3"/>
        <v>38.974342000000014</v>
      </c>
      <c r="J22" s="178">
        <f t="shared" si="3"/>
        <v>42.871776200000021</v>
      </c>
      <c r="K22" s="179">
        <f t="shared" si="3"/>
        <v>47.158953820000029</v>
      </c>
      <c r="L22" s="2"/>
      <c r="M22" s="2"/>
    </row>
    <row r="23" spans="1:13">
      <c r="A23" s="187" t="s">
        <v>111</v>
      </c>
      <c r="B23" s="178">
        <v>5</v>
      </c>
      <c r="C23" s="178">
        <f t="shared" ref="C23:K23" si="4">B23*1.1</f>
        <v>5.5</v>
      </c>
      <c r="D23" s="178">
        <f t="shared" si="4"/>
        <v>6.0500000000000007</v>
      </c>
      <c r="E23" s="178">
        <f t="shared" si="4"/>
        <v>6.6550000000000011</v>
      </c>
      <c r="F23" s="178">
        <f t="shared" si="4"/>
        <v>7.3205000000000018</v>
      </c>
      <c r="G23" s="178">
        <f t="shared" si="4"/>
        <v>8.0525500000000019</v>
      </c>
      <c r="H23" s="178">
        <f t="shared" si="4"/>
        <v>8.8578050000000026</v>
      </c>
      <c r="I23" s="178">
        <f t="shared" si="4"/>
        <v>9.7435855000000036</v>
      </c>
      <c r="J23" s="178">
        <f t="shared" si="4"/>
        <v>10.717944050000005</v>
      </c>
      <c r="K23" s="179">
        <f t="shared" si="4"/>
        <v>11.789738455000007</v>
      </c>
      <c r="L23" s="2"/>
      <c r="M23" s="2"/>
    </row>
    <row r="24" spans="1:13">
      <c r="A24" s="187" t="s">
        <v>129</v>
      </c>
      <c r="B24" s="178">
        <v>5</v>
      </c>
      <c r="C24" s="178">
        <v>1</v>
      </c>
      <c r="D24" s="178">
        <v>1</v>
      </c>
      <c r="E24" s="178">
        <v>1</v>
      </c>
      <c r="F24" s="178">
        <v>1</v>
      </c>
      <c r="G24" s="178">
        <v>1</v>
      </c>
      <c r="H24" s="178">
        <v>1</v>
      </c>
      <c r="I24" s="178">
        <v>1</v>
      </c>
      <c r="J24" s="178">
        <v>1</v>
      </c>
      <c r="K24" s="179">
        <v>1</v>
      </c>
      <c r="L24" s="2"/>
      <c r="M24" s="2"/>
    </row>
    <row r="25" spans="1:13">
      <c r="A25" s="181" t="s">
        <v>112</v>
      </c>
      <c r="B25" s="178">
        <v>5</v>
      </c>
      <c r="C25" s="178">
        <f t="shared" ref="C25:K25" si="5">B25*1.1</f>
        <v>5.5</v>
      </c>
      <c r="D25" s="178">
        <f t="shared" si="5"/>
        <v>6.0500000000000007</v>
      </c>
      <c r="E25" s="178">
        <f t="shared" si="5"/>
        <v>6.6550000000000011</v>
      </c>
      <c r="F25" s="178">
        <f t="shared" si="5"/>
        <v>7.3205000000000018</v>
      </c>
      <c r="G25" s="178">
        <f t="shared" si="5"/>
        <v>8.0525500000000019</v>
      </c>
      <c r="H25" s="178">
        <f t="shared" si="5"/>
        <v>8.8578050000000026</v>
      </c>
      <c r="I25" s="178">
        <f t="shared" si="5"/>
        <v>9.7435855000000036</v>
      </c>
      <c r="J25" s="178">
        <f t="shared" si="5"/>
        <v>10.717944050000005</v>
      </c>
      <c r="K25" s="179">
        <f t="shared" si="5"/>
        <v>11.789738455000007</v>
      </c>
      <c r="L25" s="2"/>
      <c r="M25" s="2"/>
    </row>
    <row r="26" spans="1:13">
      <c r="A26" s="140"/>
      <c r="B26" s="30"/>
      <c r="C26" s="30"/>
      <c r="D26" s="30"/>
      <c r="E26" s="30"/>
      <c r="F26" s="30"/>
      <c r="G26" s="30"/>
      <c r="H26" s="30"/>
      <c r="I26" s="30"/>
      <c r="J26" s="30"/>
      <c r="K26" s="149"/>
      <c r="L26" s="2"/>
      <c r="M26" s="2"/>
    </row>
    <row r="27" spans="1:13" ht="15.75">
      <c r="A27" s="165" t="s">
        <v>113</v>
      </c>
      <c r="B27" s="34">
        <f>SUM(B28:B33)</f>
        <v>736.64999999999986</v>
      </c>
      <c r="C27" s="34">
        <f t="shared" ref="C27:K27" si="6">SUM(C28:C33)</f>
        <v>771.81000000000006</v>
      </c>
      <c r="D27" s="34">
        <f t="shared" si="6"/>
        <v>949.84</v>
      </c>
      <c r="E27" s="34">
        <f t="shared" si="6"/>
        <v>1120.1099999999999</v>
      </c>
      <c r="F27" s="34">
        <f t="shared" si="6"/>
        <v>1405.5600000000002</v>
      </c>
      <c r="G27" s="34">
        <f t="shared" si="6"/>
        <v>1691.79</v>
      </c>
      <c r="H27" s="34">
        <f t="shared" si="6"/>
        <v>2966.25</v>
      </c>
      <c r="I27" s="34">
        <f t="shared" si="6"/>
        <v>3870.5699999999997</v>
      </c>
      <c r="J27" s="34">
        <f t="shared" si="6"/>
        <v>3067.6</v>
      </c>
      <c r="K27" s="154">
        <f t="shared" si="6"/>
        <v>3559.8699999999994</v>
      </c>
      <c r="L27" s="2"/>
      <c r="M27" s="2"/>
    </row>
    <row r="28" spans="1:13">
      <c r="A28" s="181" t="s">
        <v>114</v>
      </c>
      <c r="B28" s="178">
        <v>0</v>
      </c>
      <c r="C28" s="178">
        <v>11.54</v>
      </c>
      <c r="D28" s="178">
        <v>26.97</v>
      </c>
      <c r="E28" s="178">
        <v>74.67</v>
      </c>
      <c r="F28" s="178">
        <v>114.23</v>
      </c>
      <c r="G28" s="178">
        <v>198.17</v>
      </c>
      <c r="H28" s="178">
        <v>0</v>
      </c>
      <c r="I28" s="178">
        <v>531.64</v>
      </c>
      <c r="J28" s="178">
        <v>366.51</v>
      </c>
      <c r="K28" s="179">
        <v>285.02</v>
      </c>
      <c r="L28" s="2"/>
      <c r="M28" s="2"/>
    </row>
    <row r="29" spans="1:13">
      <c r="A29" s="187" t="s">
        <v>12</v>
      </c>
      <c r="B29" s="178">
        <v>322.19</v>
      </c>
      <c r="C29" s="178">
        <v>318.19</v>
      </c>
      <c r="D29" s="178">
        <v>454.54</v>
      </c>
      <c r="E29" s="178">
        <v>488.87</v>
      </c>
      <c r="F29" s="178">
        <v>598.01</v>
      </c>
      <c r="G29" s="178">
        <v>714.01</v>
      </c>
      <c r="H29" s="178">
        <v>768.95</v>
      </c>
      <c r="I29" s="178">
        <v>955.88</v>
      </c>
      <c r="J29" s="178">
        <v>1305.43</v>
      </c>
      <c r="K29" s="179">
        <v>1598.89</v>
      </c>
      <c r="L29" s="2"/>
      <c r="M29" s="2"/>
    </row>
    <row r="30" spans="1:13">
      <c r="A30" s="181" t="s">
        <v>115</v>
      </c>
      <c r="B30" s="178">
        <v>255.6</v>
      </c>
      <c r="C30" s="178">
        <v>264.98</v>
      </c>
      <c r="D30" s="178">
        <v>295.87</v>
      </c>
      <c r="E30" s="178">
        <v>347.52</v>
      </c>
      <c r="F30" s="178">
        <v>420.61</v>
      </c>
      <c r="G30" s="178">
        <v>460.33</v>
      </c>
      <c r="H30" s="178">
        <v>571.91999999999996</v>
      </c>
      <c r="I30" s="178">
        <v>542.52</v>
      </c>
      <c r="J30" s="178">
        <v>573.1</v>
      </c>
      <c r="K30" s="179">
        <v>781.25</v>
      </c>
      <c r="L30" s="2"/>
      <c r="M30" s="2"/>
    </row>
    <row r="31" spans="1:13">
      <c r="A31" s="181" t="s">
        <v>119</v>
      </c>
      <c r="B31" s="178">
        <v>68.03</v>
      </c>
      <c r="C31" s="178">
        <v>69.8</v>
      </c>
      <c r="D31" s="178">
        <v>60.82</v>
      </c>
      <c r="E31" s="178">
        <v>73.41</v>
      </c>
      <c r="F31" s="178">
        <v>105.39</v>
      </c>
      <c r="G31" s="178">
        <v>110.71</v>
      </c>
      <c r="H31" s="178">
        <v>210.37</v>
      </c>
      <c r="I31" s="178">
        <v>105.83</v>
      </c>
      <c r="J31" s="178">
        <v>626.23</v>
      </c>
      <c r="K31" s="179">
        <v>624.30999999999995</v>
      </c>
      <c r="L31" s="2"/>
      <c r="M31" s="2"/>
    </row>
    <row r="32" spans="1:13">
      <c r="A32" s="181" t="s">
        <v>118</v>
      </c>
      <c r="B32" s="178">
        <v>55.42</v>
      </c>
      <c r="C32" s="178">
        <v>76.09</v>
      </c>
      <c r="D32" s="178">
        <v>79.959999999999994</v>
      </c>
      <c r="E32" s="178">
        <v>74.430000000000007</v>
      </c>
      <c r="F32" s="178">
        <v>97.93</v>
      </c>
      <c r="G32" s="178">
        <v>152.52000000000001</v>
      </c>
      <c r="H32" s="178">
        <v>1365.34</v>
      </c>
      <c r="I32" s="178">
        <v>1669.86</v>
      </c>
      <c r="J32" s="178">
        <v>106.47</v>
      </c>
      <c r="K32" s="179">
        <v>186.18</v>
      </c>
      <c r="L32" s="2"/>
      <c r="M32" s="2"/>
    </row>
    <row r="33" spans="1:13" ht="15.75" thickBot="1">
      <c r="A33" s="188" t="s">
        <v>13</v>
      </c>
      <c r="B33" s="189">
        <v>35.409999999999997</v>
      </c>
      <c r="C33" s="189">
        <v>31.21</v>
      </c>
      <c r="D33" s="189">
        <v>31.68</v>
      </c>
      <c r="E33" s="189">
        <v>61.21</v>
      </c>
      <c r="F33" s="189">
        <v>69.39</v>
      </c>
      <c r="G33" s="189">
        <v>56.05</v>
      </c>
      <c r="H33" s="189">
        <v>49.67</v>
      </c>
      <c r="I33" s="189">
        <v>64.84</v>
      </c>
      <c r="J33" s="189">
        <v>89.86</v>
      </c>
      <c r="K33" s="190">
        <v>84.22</v>
      </c>
      <c r="L33" s="2"/>
      <c r="M33" s="2"/>
    </row>
    <row r="34" spans="1:13">
      <c r="A34" s="1"/>
      <c r="B34" s="4"/>
      <c r="C34" s="4"/>
      <c r="D34" s="4"/>
      <c r="E34" s="4"/>
      <c r="F34" s="4"/>
      <c r="G34" s="4"/>
      <c r="H34" s="4"/>
      <c r="I34" s="4"/>
      <c r="J34" s="4"/>
      <c r="K34" s="4"/>
      <c r="L34" s="2"/>
      <c r="M34" s="2"/>
    </row>
  </sheetData>
  <mergeCells count="2">
    <mergeCell ref="A1:K1"/>
    <mergeCell ref="A2:K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GG92"/>
  <sheetViews>
    <sheetView workbookViewId="0">
      <selection sqref="A1:K1"/>
    </sheetView>
  </sheetViews>
  <sheetFormatPr defaultRowHeight="15"/>
  <cols>
    <col min="1" max="1" width="40.140625" style="3" bestFit="1" customWidth="1"/>
    <col min="2" max="11" width="8.42578125" style="3" bestFit="1" customWidth="1"/>
    <col min="12" max="12" width="8" style="3" bestFit="1" customWidth="1"/>
    <col min="13" max="16384" width="9.140625" style="3"/>
  </cols>
  <sheetData>
    <row r="1" spans="1:189" ht="20.25" thickBot="1">
      <c r="A1" s="251" t="s">
        <v>208</v>
      </c>
      <c r="B1" s="252"/>
      <c r="C1" s="252"/>
      <c r="D1" s="252"/>
      <c r="E1" s="252"/>
      <c r="F1" s="252"/>
      <c r="G1" s="252"/>
      <c r="H1" s="252"/>
      <c r="I1" s="252"/>
      <c r="J1" s="252"/>
      <c r="K1" s="253"/>
    </row>
    <row r="2" spans="1:189" ht="16.5" customHeight="1" thickBot="1">
      <c r="A2" s="254" t="s">
        <v>237</v>
      </c>
      <c r="B2" s="255"/>
      <c r="C2" s="255"/>
      <c r="D2" s="255"/>
      <c r="E2" s="255"/>
      <c r="F2" s="255"/>
      <c r="G2" s="255"/>
      <c r="H2" s="255"/>
      <c r="I2" s="255"/>
      <c r="J2" s="255"/>
      <c r="K2" s="256"/>
    </row>
    <row r="3" spans="1:189" ht="15.75">
      <c r="A3" s="98" t="s">
        <v>206</v>
      </c>
      <c r="B3" s="99" t="s">
        <v>25</v>
      </c>
      <c r="C3" s="99" t="s">
        <v>24</v>
      </c>
      <c r="D3" s="99" t="s">
        <v>26</v>
      </c>
      <c r="E3" s="99" t="s">
        <v>27</v>
      </c>
      <c r="F3" s="99" t="s">
        <v>28</v>
      </c>
      <c r="G3" s="99" t="s">
        <v>17</v>
      </c>
      <c r="H3" s="99" t="s">
        <v>18</v>
      </c>
      <c r="I3" s="99" t="s">
        <v>19</v>
      </c>
      <c r="J3" s="99" t="s">
        <v>20</v>
      </c>
      <c r="K3" s="100" t="s">
        <v>21</v>
      </c>
      <c r="L3" s="38" t="s">
        <v>127</v>
      </c>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row>
    <row r="4" spans="1:189">
      <c r="A4" s="198" t="s">
        <v>76</v>
      </c>
      <c r="B4" s="182">
        <v>1817.49</v>
      </c>
      <c r="C4" s="182">
        <v>2373.2800000000002</v>
      </c>
      <c r="D4" s="182">
        <v>2573.86</v>
      </c>
      <c r="E4" s="182">
        <v>3021.04</v>
      </c>
      <c r="F4" s="182">
        <v>3669.97</v>
      </c>
      <c r="G4" s="182">
        <v>4407.2299999999996</v>
      </c>
      <c r="H4" s="182">
        <v>5463.9</v>
      </c>
      <c r="I4" s="182">
        <v>6680.94</v>
      </c>
      <c r="J4" s="182">
        <v>7722.3</v>
      </c>
      <c r="K4" s="183">
        <v>9632.24</v>
      </c>
      <c r="L4" s="28">
        <f>(K4/B4)^(1/9)-1</f>
        <v>0.2035740272460167</v>
      </c>
    </row>
    <row r="5" spans="1:189">
      <c r="A5" s="140"/>
      <c r="B5" s="35"/>
      <c r="C5" s="35"/>
      <c r="D5" s="35"/>
      <c r="E5" s="35"/>
      <c r="F5" s="35"/>
      <c r="G5" s="35"/>
      <c r="H5" s="35"/>
      <c r="I5" s="35"/>
      <c r="J5" s="35"/>
      <c r="K5" s="158"/>
      <c r="L5" s="28"/>
    </row>
    <row r="6" spans="1:189" ht="15.75">
      <c r="A6" s="159" t="s">
        <v>93</v>
      </c>
      <c r="B6" s="35"/>
      <c r="C6" s="35"/>
      <c r="D6" s="35"/>
      <c r="E6" s="35"/>
      <c r="F6" s="35"/>
      <c r="G6" s="35"/>
      <c r="H6" s="35"/>
      <c r="I6" s="35"/>
      <c r="J6" s="35"/>
      <c r="K6" s="158"/>
    </row>
    <row r="7" spans="1:189">
      <c r="A7" s="181" t="s">
        <v>77</v>
      </c>
      <c r="B7" s="182">
        <v>-37.56</v>
      </c>
      <c r="C7" s="182">
        <v>1.95</v>
      </c>
      <c r="D7" s="182">
        <v>-60.6</v>
      </c>
      <c r="E7" s="182">
        <v>-10.43</v>
      </c>
      <c r="F7" s="182">
        <v>-70.02</v>
      </c>
      <c r="G7" s="182">
        <v>-35.67</v>
      </c>
      <c r="H7" s="182">
        <v>-27.34</v>
      </c>
      <c r="I7" s="182">
        <v>-101.52</v>
      </c>
      <c r="J7" s="182">
        <v>-151.43</v>
      </c>
      <c r="K7" s="183">
        <v>-172.95</v>
      </c>
    </row>
    <row r="8" spans="1:189">
      <c r="A8" s="181" t="s">
        <v>78</v>
      </c>
      <c r="B8" s="182">
        <v>974.52</v>
      </c>
      <c r="C8" s="182">
        <v>1290.2</v>
      </c>
      <c r="D8" s="182">
        <v>1563.34</v>
      </c>
      <c r="E8" s="182">
        <v>1802.53</v>
      </c>
      <c r="F8" s="182">
        <v>2269.42</v>
      </c>
      <c r="G8" s="182">
        <v>2613.31</v>
      </c>
      <c r="H8" s="182">
        <v>2865.93</v>
      </c>
      <c r="I8" s="182">
        <v>3227.37</v>
      </c>
      <c r="J8" s="182">
        <v>3906.17</v>
      </c>
      <c r="K8" s="183">
        <v>5099.3500000000004</v>
      </c>
    </row>
    <row r="9" spans="1:189">
      <c r="A9" s="181" t="s">
        <v>79</v>
      </c>
      <c r="B9" s="182">
        <v>120.47</v>
      </c>
      <c r="C9" s="182">
        <v>182.56</v>
      </c>
      <c r="D9" s="182">
        <v>198.51</v>
      </c>
      <c r="E9" s="182">
        <v>219.42</v>
      </c>
      <c r="F9" s="182">
        <v>257.12</v>
      </c>
      <c r="G9" s="182">
        <v>300.88</v>
      </c>
      <c r="H9" s="182">
        <v>365.43</v>
      </c>
      <c r="I9" s="182">
        <v>432.85</v>
      </c>
      <c r="J9" s="182">
        <v>453.99</v>
      </c>
      <c r="K9" s="183">
        <v>525.97</v>
      </c>
    </row>
    <row r="10" spans="1:189">
      <c r="A10" s="181" t="s">
        <v>80</v>
      </c>
      <c r="B10" s="182">
        <v>65.509999999999991</v>
      </c>
      <c r="C10" s="182">
        <v>74.289999999999992</v>
      </c>
      <c r="D10" s="182">
        <v>86.36</v>
      </c>
      <c r="E10" s="182">
        <v>95.81</v>
      </c>
      <c r="F10" s="182">
        <v>112.19999999999999</v>
      </c>
      <c r="G10" s="182">
        <v>121.99000000000001</v>
      </c>
      <c r="H10" s="182">
        <v>682.04</v>
      </c>
      <c r="I10" s="182">
        <v>797.16</v>
      </c>
      <c r="J10" s="182">
        <v>922.31999999999994</v>
      </c>
      <c r="K10" s="183">
        <v>1073.17</v>
      </c>
    </row>
    <row r="11" spans="1:189">
      <c r="A11" s="181" t="s">
        <v>81</v>
      </c>
      <c r="B11" s="182">
        <v>60.15</v>
      </c>
      <c r="C11" s="182">
        <v>83.83</v>
      </c>
      <c r="D11" s="182">
        <v>86.79</v>
      </c>
      <c r="E11" s="182">
        <v>98.91</v>
      </c>
      <c r="F11" s="182">
        <v>121.93</v>
      </c>
      <c r="G11" s="182">
        <v>144.51</v>
      </c>
      <c r="H11" s="182">
        <v>166.95</v>
      </c>
      <c r="I11" s="182">
        <v>199.67</v>
      </c>
      <c r="J11" s="182">
        <v>206.12</v>
      </c>
      <c r="K11" s="183">
        <v>268.75</v>
      </c>
    </row>
    <row r="12" spans="1:189">
      <c r="A12" s="181" t="s">
        <v>82</v>
      </c>
      <c r="B12" s="182">
        <v>300.73</v>
      </c>
      <c r="C12" s="182">
        <v>358.21</v>
      </c>
      <c r="D12" s="182">
        <v>296.94</v>
      </c>
      <c r="E12" s="182">
        <v>345.16</v>
      </c>
      <c r="F12" s="182">
        <v>411.25</v>
      </c>
      <c r="G12" s="182">
        <v>535.19000000000005</v>
      </c>
      <c r="H12" s="182">
        <v>646.16</v>
      </c>
      <c r="I12" s="182">
        <v>800.71</v>
      </c>
      <c r="J12" s="182">
        <v>969.04</v>
      </c>
      <c r="K12" s="183">
        <v>1207.3800000000001</v>
      </c>
      <c r="L12" s="41"/>
    </row>
    <row r="13" spans="1:189">
      <c r="A13" s="181" t="s">
        <v>83</v>
      </c>
      <c r="B13" s="182">
        <v>55.77</v>
      </c>
      <c r="C13" s="182">
        <v>85.09</v>
      </c>
      <c r="D13" s="182">
        <v>67.900000000000006</v>
      </c>
      <c r="E13" s="182">
        <v>78.97</v>
      </c>
      <c r="F13" s="182">
        <v>84.93</v>
      </c>
      <c r="G13" s="182">
        <v>62.82</v>
      </c>
      <c r="H13" s="182">
        <v>90.79</v>
      </c>
      <c r="I13" s="182">
        <v>89.02</v>
      </c>
      <c r="J13" s="182">
        <v>85.22</v>
      </c>
      <c r="K13" s="183">
        <v>120.28</v>
      </c>
    </row>
    <row r="14" spans="1:189" ht="15.75">
      <c r="A14" s="153" t="s">
        <v>84</v>
      </c>
      <c r="B14" s="34">
        <f>SUM(B7:B13)</f>
        <v>1539.5900000000001</v>
      </c>
      <c r="C14" s="34">
        <f t="shared" ref="C14:K14" si="0">SUM(C7:C13)</f>
        <v>2076.13</v>
      </c>
      <c r="D14" s="34">
        <f t="shared" si="0"/>
        <v>2239.2399999999998</v>
      </c>
      <c r="E14" s="34">
        <f t="shared" si="0"/>
        <v>2630.3699999999994</v>
      </c>
      <c r="F14" s="34">
        <f t="shared" si="0"/>
        <v>3186.8299999999995</v>
      </c>
      <c r="G14" s="34">
        <f t="shared" si="0"/>
        <v>3743.0300000000007</v>
      </c>
      <c r="H14" s="34">
        <f t="shared" si="0"/>
        <v>4789.9599999999991</v>
      </c>
      <c r="I14" s="34">
        <f t="shared" si="0"/>
        <v>5445.26</v>
      </c>
      <c r="J14" s="34">
        <f t="shared" si="0"/>
        <v>6391.43</v>
      </c>
      <c r="K14" s="154">
        <f t="shared" si="0"/>
        <v>8121.9500000000007</v>
      </c>
      <c r="L14" s="28">
        <f>(K14/B14)^(1/9)-1</f>
        <v>0.20295832251699975</v>
      </c>
    </row>
    <row r="15" spans="1:189" ht="15.75">
      <c r="A15" s="153" t="s">
        <v>195</v>
      </c>
      <c r="B15" s="34">
        <f>B4-B7-B8-B10</f>
        <v>815.02</v>
      </c>
      <c r="C15" s="34">
        <f t="shared" ref="C15:K15" si="1">C4-C7-C8-C10</f>
        <v>1006.8400000000004</v>
      </c>
      <c r="D15" s="34">
        <f t="shared" si="1"/>
        <v>984.7600000000001</v>
      </c>
      <c r="E15" s="34">
        <f t="shared" si="1"/>
        <v>1133.1299999999999</v>
      </c>
      <c r="F15" s="34">
        <f t="shared" si="1"/>
        <v>1358.3699999999997</v>
      </c>
      <c r="G15" s="34">
        <f t="shared" si="1"/>
        <v>1707.5999999999997</v>
      </c>
      <c r="H15" s="34">
        <f t="shared" si="1"/>
        <v>1943.27</v>
      </c>
      <c r="I15" s="34">
        <f t="shared" si="1"/>
        <v>2757.9300000000003</v>
      </c>
      <c r="J15" s="34">
        <f t="shared" si="1"/>
        <v>3045.2400000000007</v>
      </c>
      <c r="K15" s="154">
        <f t="shared" si="1"/>
        <v>3632.67</v>
      </c>
      <c r="L15" s="28">
        <f>(K15/B15)^(1/9)-1</f>
        <v>0.18064007376451774</v>
      </c>
    </row>
    <row r="16" spans="1:189" ht="15.75">
      <c r="A16" s="153" t="s">
        <v>94</v>
      </c>
      <c r="B16" s="34">
        <f>B4-B14</f>
        <v>277.89999999999986</v>
      </c>
      <c r="C16" s="34">
        <f t="shared" ref="C16:K16" si="2">C4-C14</f>
        <v>297.15000000000009</v>
      </c>
      <c r="D16" s="34">
        <f t="shared" si="2"/>
        <v>334.62000000000035</v>
      </c>
      <c r="E16" s="34">
        <f t="shared" si="2"/>
        <v>390.67000000000053</v>
      </c>
      <c r="F16" s="34">
        <f t="shared" si="2"/>
        <v>483.14000000000033</v>
      </c>
      <c r="G16" s="34">
        <f t="shared" si="2"/>
        <v>664.19999999999891</v>
      </c>
      <c r="H16" s="34">
        <f t="shared" si="2"/>
        <v>673.94000000000051</v>
      </c>
      <c r="I16" s="34">
        <f t="shared" si="2"/>
        <v>1235.6799999999994</v>
      </c>
      <c r="J16" s="34">
        <f t="shared" si="2"/>
        <v>1330.87</v>
      </c>
      <c r="K16" s="154">
        <f t="shared" si="2"/>
        <v>1510.2899999999991</v>
      </c>
      <c r="L16" s="28">
        <f>(K16/B16)^(1/9)-1</f>
        <v>0.20694020784933254</v>
      </c>
    </row>
    <row r="17" spans="1:12">
      <c r="A17" s="181" t="s">
        <v>85</v>
      </c>
      <c r="B17" s="178">
        <v>10.58</v>
      </c>
      <c r="C17" s="178">
        <v>26.56</v>
      </c>
      <c r="D17" s="178">
        <v>32.369999999999997</v>
      </c>
      <c r="E17" s="178">
        <v>32.03</v>
      </c>
      <c r="F17" s="178">
        <v>39.9</v>
      </c>
      <c r="G17" s="178">
        <v>59.6</v>
      </c>
      <c r="H17" s="178">
        <v>51.01</v>
      </c>
      <c r="I17" s="178">
        <v>140.5</v>
      </c>
      <c r="J17" s="178">
        <v>67.98</v>
      </c>
      <c r="K17" s="179">
        <v>108.3</v>
      </c>
    </row>
    <row r="18" spans="1:12">
      <c r="A18" s="181" t="s">
        <v>87</v>
      </c>
      <c r="B18" s="178">
        <v>48.67</v>
      </c>
      <c r="C18" s="178">
        <v>70.66</v>
      </c>
      <c r="D18" s="178">
        <v>69.069999999999993</v>
      </c>
      <c r="E18" s="178">
        <v>68.22</v>
      </c>
      <c r="F18" s="178">
        <v>61.14</v>
      </c>
      <c r="G18" s="178">
        <v>59.17</v>
      </c>
      <c r="H18" s="178">
        <v>74.38</v>
      </c>
      <c r="I18" s="178">
        <v>83.56</v>
      </c>
      <c r="J18" s="178">
        <v>113.13</v>
      </c>
      <c r="K18" s="179">
        <v>121.13</v>
      </c>
    </row>
    <row r="19" spans="1:12" ht="15.75">
      <c r="A19" s="153" t="s">
        <v>95</v>
      </c>
      <c r="B19" s="34">
        <f>B16+B17-B18</f>
        <v>239.80999999999983</v>
      </c>
      <c r="C19" s="34">
        <f t="shared" ref="C19:K19" si="3">C16+C17-C18</f>
        <v>253.0500000000001</v>
      </c>
      <c r="D19" s="34">
        <f t="shared" si="3"/>
        <v>297.92000000000036</v>
      </c>
      <c r="E19" s="34">
        <f t="shared" si="3"/>
        <v>354.48000000000047</v>
      </c>
      <c r="F19" s="34">
        <f t="shared" si="3"/>
        <v>461.90000000000032</v>
      </c>
      <c r="G19" s="34">
        <f t="shared" si="3"/>
        <v>664.62999999999897</v>
      </c>
      <c r="H19" s="34">
        <f t="shared" si="3"/>
        <v>650.5700000000005</v>
      </c>
      <c r="I19" s="34">
        <f t="shared" si="3"/>
        <v>1292.6199999999994</v>
      </c>
      <c r="J19" s="34">
        <f t="shared" si="3"/>
        <v>1285.7199999999998</v>
      </c>
      <c r="K19" s="154">
        <f t="shared" si="3"/>
        <v>1497.4599999999991</v>
      </c>
      <c r="L19" s="28">
        <f>(K19/B19)^(1/9)-1</f>
        <v>0.22570949117945194</v>
      </c>
    </row>
    <row r="20" spans="1:12">
      <c r="A20" s="181" t="s">
        <v>86</v>
      </c>
      <c r="B20" s="178">
        <v>13.73</v>
      </c>
      <c r="C20" s="178">
        <v>15.2</v>
      </c>
      <c r="D20" s="178">
        <v>10.82</v>
      </c>
      <c r="E20" s="178">
        <v>11.43</v>
      </c>
      <c r="F20" s="178">
        <v>23.99</v>
      </c>
      <c r="G20" s="178">
        <v>26.37</v>
      </c>
      <c r="H20" s="178">
        <v>32.46</v>
      </c>
      <c r="I20" s="178">
        <v>36.75</v>
      </c>
      <c r="J20" s="178">
        <v>25.98</v>
      </c>
      <c r="K20" s="179">
        <v>43.38</v>
      </c>
    </row>
    <row r="21" spans="1:12">
      <c r="A21" s="181" t="s">
        <v>88</v>
      </c>
      <c r="B21" s="178">
        <v>0</v>
      </c>
      <c r="C21" s="178">
        <v>0</v>
      </c>
      <c r="D21" s="178">
        <v>0</v>
      </c>
      <c r="E21" s="178">
        <v>0</v>
      </c>
      <c r="F21" s="178">
        <v>-7.76</v>
      </c>
      <c r="G21" s="178">
        <v>-6.84</v>
      </c>
      <c r="H21" s="178">
        <v>-1.24</v>
      </c>
      <c r="I21" s="178">
        <v>1.1499999999999999</v>
      </c>
      <c r="J21" s="178">
        <v>0</v>
      </c>
      <c r="K21" s="179">
        <v>0</v>
      </c>
    </row>
    <row r="22" spans="1:12" ht="15.75">
      <c r="A22" s="153" t="s">
        <v>89</v>
      </c>
      <c r="B22" s="34">
        <f t="shared" ref="B22:H22" si="4">B19-B20+B21</f>
        <v>226.07999999999984</v>
      </c>
      <c r="C22" s="34">
        <f t="shared" si="4"/>
        <v>237.85000000000011</v>
      </c>
      <c r="D22" s="34">
        <f t="shared" si="4"/>
        <v>287.10000000000036</v>
      </c>
      <c r="E22" s="34">
        <f t="shared" si="4"/>
        <v>343.05000000000047</v>
      </c>
      <c r="F22" s="34">
        <f t="shared" si="4"/>
        <v>430.15000000000032</v>
      </c>
      <c r="G22" s="34">
        <f t="shared" si="4"/>
        <v>631.41999999999894</v>
      </c>
      <c r="H22" s="34">
        <f t="shared" si="4"/>
        <v>616.87000000000046</v>
      </c>
      <c r="I22" s="34">
        <f>I19-I20+I21</f>
        <v>1257.0199999999995</v>
      </c>
      <c r="J22" s="34">
        <f t="shared" ref="J22:K22" si="5">J19-J20+J21</f>
        <v>1259.7399999999998</v>
      </c>
      <c r="K22" s="154">
        <f t="shared" si="5"/>
        <v>1454.079999999999</v>
      </c>
      <c r="L22" s="28">
        <f>(K22/B22)^(1/9)-1</f>
        <v>0.22974203234392321</v>
      </c>
    </row>
    <row r="23" spans="1:12">
      <c r="A23" s="181" t="s">
        <v>90</v>
      </c>
      <c r="B23" s="178">
        <v>86.19</v>
      </c>
      <c r="C23" s="178">
        <v>94.05</v>
      </c>
      <c r="D23" s="178">
        <v>106.01</v>
      </c>
      <c r="E23" s="178">
        <v>132.29</v>
      </c>
      <c r="F23" s="178">
        <v>146.66</v>
      </c>
      <c r="G23" s="178">
        <v>203.37</v>
      </c>
      <c r="H23" s="178">
        <v>197.39</v>
      </c>
      <c r="I23" s="178">
        <v>373.11</v>
      </c>
      <c r="J23" s="178">
        <v>378.39</v>
      </c>
      <c r="K23" s="179">
        <v>433.5</v>
      </c>
    </row>
    <row r="24" spans="1:12" ht="15.75">
      <c r="A24" s="153" t="s">
        <v>91</v>
      </c>
      <c r="B24" s="34">
        <f t="shared" ref="B24:K24" si="6">B22-B23</f>
        <v>139.88999999999984</v>
      </c>
      <c r="C24" s="34">
        <f t="shared" si="6"/>
        <v>143.80000000000013</v>
      </c>
      <c r="D24" s="34">
        <f t="shared" si="6"/>
        <v>181.09000000000037</v>
      </c>
      <c r="E24" s="34">
        <f t="shared" si="6"/>
        <v>210.76000000000047</v>
      </c>
      <c r="F24" s="34">
        <f t="shared" si="6"/>
        <v>283.49000000000035</v>
      </c>
      <c r="G24" s="34">
        <f t="shared" si="6"/>
        <v>428.04999999999893</v>
      </c>
      <c r="H24" s="34">
        <f t="shared" si="6"/>
        <v>419.48000000000047</v>
      </c>
      <c r="I24" s="34">
        <f t="shared" si="6"/>
        <v>883.90999999999951</v>
      </c>
      <c r="J24" s="34">
        <f t="shared" si="6"/>
        <v>881.3499999999998</v>
      </c>
      <c r="K24" s="154">
        <f t="shared" si="6"/>
        <v>1020.579999999999</v>
      </c>
      <c r="L24" s="28">
        <f>(K24/B24)^(1/9)-1</f>
        <v>0.24708368653283386</v>
      </c>
    </row>
    <row r="25" spans="1:12">
      <c r="A25" s="181" t="s">
        <v>11</v>
      </c>
      <c r="B25" s="178">
        <v>-0.85</v>
      </c>
      <c r="C25" s="178">
        <v>-2.83</v>
      </c>
      <c r="D25" s="178">
        <v>-7.16</v>
      </c>
      <c r="E25" s="178">
        <v>2.33</v>
      </c>
      <c r="F25" s="178">
        <v>-2.06</v>
      </c>
      <c r="G25" s="178">
        <v>-18.87</v>
      </c>
      <c r="H25" s="178">
        <v>-21.64</v>
      </c>
      <c r="I25" s="178">
        <v>-48.27</v>
      </c>
      <c r="J25" s="178">
        <v>-38.11</v>
      </c>
      <c r="K25" s="179">
        <v>-31.85</v>
      </c>
    </row>
    <row r="26" spans="1:12">
      <c r="A26" s="181" t="s">
        <v>92</v>
      </c>
      <c r="B26" s="178">
        <v>0</v>
      </c>
      <c r="C26" s="178">
        <v>3.91</v>
      </c>
      <c r="D26" s="178">
        <v>0.15</v>
      </c>
      <c r="E26" s="178">
        <v>-0.93</v>
      </c>
      <c r="F26" s="178">
        <v>-0.4</v>
      </c>
      <c r="G26" s="178">
        <v>0</v>
      </c>
      <c r="H26" s="178">
        <v>0</v>
      </c>
      <c r="I26" s="178">
        <v>0</v>
      </c>
      <c r="J26" s="178">
        <v>0</v>
      </c>
      <c r="K26" s="179">
        <v>0</v>
      </c>
    </row>
    <row r="27" spans="1:12" ht="15.75">
      <c r="A27" s="153" t="s">
        <v>100</v>
      </c>
      <c r="B27" s="34">
        <f t="shared" ref="B27:J27" si="7">B24+B25+B26</f>
        <v>139.03999999999985</v>
      </c>
      <c r="C27" s="34">
        <f t="shared" si="7"/>
        <v>144.88000000000011</v>
      </c>
      <c r="D27" s="34">
        <f t="shared" si="7"/>
        <v>174.08000000000038</v>
      </c>
      <c r="E27" s="34">
        <f t="shared" si="7"/>
        <v>212.16000000000048</v>
      </c>
      <c r="F27" s="34">
        <f t="shared" si="7"/>
        <v>281.03000000000037</v>
      </c>
      <c r="G27" s="34">
        <f t="shared" si="7"/>
        <v>409.17999999999893</v>
      </c>
      <c r="H27" s="34">
        <f t="shared" si="7"/>
        <v>397.84000000000049</v>
      </c>
      <c r="I27" s="34">
        <f t="shared" si="7"/>
        <v>835.63999999999953</v>
      </c>
      <c r="J27" s="34">
        <f t="shared" si="7"/>
        <v>843.23999999999978</v>
      </c>
      <c r="K27" s="154">
        <f>K24+K25+K26</f>
        <v>988.729999999999</v>
      </c>
      <c r="L27" s="28">
        <f>(K27/B27)^(1/9)-1</f>
        <v>0.24354003739963503</v>
      </c>
    </row>
    <row r="28" spans="1:12" ht="15.75">
      <c r="A28" s="153" t="s">
        <v>202</v>
      </c>
      <c r="B28" s="48">
        <f>B27/'First Page'!$B$15</f>
        <v>14.49544624159318</v>
      </c>
      <c r="C28" s="48">
        <f>C27/'First Page'!$B$15</f>
        <v>15.104288344951264</v>
      </c>
      <c r="D28" s="48">
        <f>D27/'First Page'!$B$15</f>
        <v>18.148498861741579</v>
      </c>
      <c r="E28" s="48">
        <f>E27/'First Page'!$B$15</f>
        <v>22.118482987747552</v>
      </c>
      <c r="F28" s="48">
        <f>F27/'First Page'!$B$15</f>
        <v>29.298441148410109</v>
      </c>
      <c r="G28" s="48">
        <f>G27/'First Page'!$B$15</f>
        <v>42.658563673296094</v>
      </c>
      <c r="H28" s="48">
        <f>H27/'First Page'!$B$15</f>
        <v>41.476325753419481</v>
      </c>
      <c r="I28" s="48">
        <f>I27/'First Page'!$B$15</f>
        <v>87.118632748309352</v>
      </c>
      <c r="J28" s="48">
        <f>J27/'First Page'!$B$15</f>
        <v>87.910961512953421</v>
      </c>
      <c r="K28" s="48">
        <f>K27/'First Page'!$B$15</f>
        <v>103.07884466664576</v>
      </c>
      <c r="L28" s="28"/>
    </row>
    <row r="29" spans="1:12">
      <c r="A29" s="181" t="s">
        <v>97</v>
      </c>
      <c r="B29" s="178">
        <v>28.59</v>
      </c>
      <c r="C29" s="178">
        <v>33.57</v>
      </c>
      <c r="D29" s="178">
        <v>38.369999999999997</v>
      </c>
      <c r="E29" s="178">
        <v>67.14</v>
      </c>
      <c r="F29" s="178">
        <v>115.1</v>
      </c>
      <c r="G29" s="178">
        <v>62.34</v>
      </c>
      <c r="H29" s="178">
        <v>62.35</v>
      </c>
      <c r="I29" s="178">
        <v>81.53</v>
      </c>
      <c r="J29" s="178">
        <v>81.53</v>
      </c>
      <c r="K29" s="179">
        <v>91.13</v>
      </c>
    </row>
    <row r="30" spans="1:12">
      <c r="A30" s="181" t="s">
        <v>96</v>
      </c>
      <c r="B30" s="178">
        <v>41.57</v>
      </c>
      <c r="C30" s="178">
        <v>47.96</v>
      </c>
      <c r="D30" s="178">
        <v>52.76</v>
      </c>
      <c r="E30" s="178">
        <v>52.76</v>
      </c>
      <c r="F30" s="178">
        <v>9.59</v>
      </c>
      <c r="G30" s="178">
        <v>100.71</v>
      </c>
      <c r="H30" s="178">
        <v>105.51</v>
      </c>
      <c r="I30" s="178">
        <v>177.45</v>
      </c>
      <c r="J30" s="178">
        <v>225.41</v>
      </c>
      <c r="K30" s="179">
        <v>292.56</v>
      </c>
    </row>
    <row r="31" spans="1:12" ht="15.75">
      <c r="A31" s="153" t="s">
        <v>98</v>
      </c>
      <c r="B31" s="34">
        <f>B29+B30</f>
        <v>70.16</v>
      </c>
      <c r="C31" s="34">
        <f t="shared" ref="C31:K31" si="8">C29+C30</f>
        <v>81.53</v>
      </c>
      <c r="D31" s="34">
        <f t="shared" si="8"/>
        <v>91.13</v>
      </c>
      <c r="E31" s="34">
        <f t="shared" si="8"/>
        <v>119.9</v>
      </c>
      <c r="F31" s="34">
        <f t="shared" si="8"/>
        <v>124.69</v>
      </c>
      <c r="G31" s="34">
        <f t="shared" si="8"/>
        <v>163.05000000000001</v>
      </c>
      <c r="H31" s="34">
        <f t="shared" si="8"/>
        <v>167.86</v>
      </c>
      <c r="I31" s="34">
        <f t="shared" si="8"/>
        <v>258.98</v>
      </c>
      <c r="J31" s="34">
        <f t="shared" si="8"/>
        <v>306.94</v>
      </c>
      <c r="K31" s="154">
        <f t="shared" si="8"/>
        <v>383.69</v>
      </c>
      <c r="L31" s="28">
        <f>(K31/B31)^(1/9)-1</f>
        <v>0.20778012256649392</v>
      </c>
    </row>
    <row r="32" spans="1:12">
      <c r="A32" s="1"/>
      <c r="B32" s="4"/>
      <c r="C32" s="4"/>
      <c r="D32" s="4"/>
      <c r="E32" s="4"/>
      <c r="F32" s="4"/>
      <c r="G32" s="4"/>
      <c r="H32" s="4"/>
      <c r="I32" s="4"/>
      <c r="J32" s="4"/>
      <c r="K32" s="4"/>
    </row>
    <row r="33" spans="1:11">
      <c r="A33" s="1"/>
      <c r="B33" s="4"/>
      <c r="C33" s="4"/>
      <c r="D33" s="4"/>
      <c r="E33" s="4"/>
      <c r="F33" s="4"/>
      <c r="G33" s="4"/>
      <c r="H33" s="4"/>
      <c r="I33" s="4"/>
      <c r="J33" s="4"/>
      <c r="K33" s="4"/>
    </row>
    <row r="34" spans="1:11">
      <c r="B34" s="2"/>
      <c r="C34" s="2"/>
      <c r="D34" s="2"/>
      <c r="E34" s="2"/>
      <c r="F34" s="2"/>
      <c r="G34" s="2"/>
      <c r="H34" s="2"/>
      <c r="I34" s="2"/>
      <c r="J34" s="2"/>
      <c r="K34" s="2"/>
    </row>
    <row r="35" spans="1:11">
      <c r="B35" s="2"/>
      <c r="C35" s="2"/>
      <c r="D35" s="2"/>
      <c r="E35" s="2"/>
      <c r="F35" s="2"/>
      <c r="G35" s="2"/>
      <c r="H35" s="2"/>
      <c r="I35" s="2"/>
      <c r="J35" s="2"/>
      <c r="K35" s="2"/>
    </row>
    <row r="36" spans="1:11">
      <c r="B36" s="2"/>
      <c r="C36" s="2"/>
      <c r="D36" s="2"/>
      <c r="E36" s="2"/>
      <c r="F36" s="2"/>
      <c r="G36" s="2"/>
      <c r="H36" s="2"/>
      <c r="I36" s="2"/>
      <c r="J36" s="2"/>
      <c r="K36" s="2"/>
    </row>
    <row r="37" spans="1:11">
      <c r="B37" s="2"/>
      <c r="C37" s="2"/>
      <c r="D37" s="2"/>
      <c r="E37" s="2"/>
      <c r="F37" s="2"/>
      <c r="G37" s="2"/>
      <c r="H37" s="2"/>
      <c r="I37" s="2"/>
      <c r="J37" s="2"/>
      <c r="K37" s="2"/>
    </row>
    <row r="38" spans="1:11">
      <c r="B38" s="2"/>
      <c r="C38" s="2"/>
      <c r="D38" s="2"/>
      <c r="E38" s="2"/>
      <c r="F38" s="2"/>
      <c r="G38" s="2"/>
      <c r="H38" s="2"/>
      <c r="I38" s="2"/>
      <c r="J38" s="2"/>
      <c r="K38" s="2"/>
    </row>
    <row r="39" spans="1:11">
      <c r="B39" s="2"/>
      <c r="C39" s="2"/>
      <c r="D39" s="2"/>
      <c r="E39" s="2"/>
      <c r="F39" s="2"/>
      <c r="G39" s="2"/>
      <c r="H39" s="2"/>
      <c r="I39" s="2"/>
      <c r="J39" s="2"/>
      <c r="K39" s="2"/>
    </row>
    <row r="40" spans="1:11">
      <c r="B40" s="2"/>
      <c r="C40" s="2"/>
      <c r="D40" s="2"/>
      <c r="E40" s="2"/>
      <c r="F40" s="2"/>
      <c r="G40" s="2"/>
      <c r="H40" s="2"/>
      <c r="I40" s="2"/>
      <c r="J40" s="2"/>
      <c r="K40" s="2"/>
    </row>
    <row r="41" spans="1:11">
      <c r="B41" s="2"/>
      <c r="C41" s="2"/>
      <c r="D41" s="2"/>
      <c r="E41" s="2"/>
      <c r="F41" s="2"/>
      <c r="G41" s="2"/>
      <c r="H41" s="2"/>
      <c r="I41" s="2"/>
      <c r="J41" s="2"/>
      <c r="K41" s="2"/>
    </row>
    <row r="42" spans="1:11">
      <c r="B42" s="2"/>
      <c r="C42" s="2"/>
      <c r="D42" s="2"/>
      <c r="E42" s="2"/>
      <c r="F42" s="2"/>
      <c r="G42" s="2"/>
      <c r="H42" s="2"/>
      <c r="I42" s="2"/>
      <c r="J42" s="2"/>
      <c r="K42" s="2"/>
    </row>
    <row r="43" spans="1:11">
      <c r="B43" s="2"/>
      <c r="C43" s="2"/>
      <c r="D43" s="2"/>
      <c r="E43" s="2"/>
      <c r="F43" s="2"/>
      <c r="G43" s="2"/>
      <c r="H43" s="2"/>
      <c r="I43" s="2"/>
      <c r="J43" s="2"/>
      <c r="K43" s="2"/>
    </row>
    <row r="44" spans="1:11">
      <c r="B44" s="2"/>
      <c r="C44" s="2"/>
      <c r="D44" s="2"/>
      <c r="E44" s="2"/>
      <c r="F44" s="2"/>
      <c r="G44" s="2"/>
      <c r="H44" s="2"/>
      <c r="I44" s="2"/>
      <c r="J44" s="2"/>
      <c r="K44" s="2"/>
    </row>
    <row r="45" spans="1:11">
      <c r="B45" s="2"/>
      <c r="C45" s="2"/>
      <c r="D45" s="2"/>
      <c r="E45" s="2"/>
      <c r="F45" s="2"/>
      <c r="G45" s="2"/>
      <c r="H45" s="2"/>
      <c r="I45" s="2"/>
      <c r="J45" s="2"/>
      <c r="K45" s="2"/>
    </row>
    <row r="46" spans="1:11">
      <c r="B46" s="2"/>
      <c r="C46" s="2"/>
      <c r="D46" s="2"/>
      <c r="E46" s="2"/>
      <c r="F46" s="2"/>
      <c r="G46" s="2"/>
      <c r="H46" s="2"/>
      <c r="I46" s="2"/>
      <c r="J46" s="2"/>
      <c r="K46" s="2"/>
    </row>
    <row r="47" spans="1:11">
      <c r="B47" s="2"/>
      <c r="C47" s="2"/>
      <c r="D47" s="2"/>
      <c r="E47" s="2"/>
      <c r="F47" s="2"/>
      <c r="G47" s="2"/>
      <c r="H47" s="2"/>
      <c r="I47" s="2"/>
      <c r="J47" s="2"/>
      <c r="K47" s="2"/>
    </row>
    <row r="48" spans="1:11">
      <c r="B48" s="2"/>
      <c r="C48" s="2"/>
      <c r="D48" s="2"/>
      <c r="E48" s="2"/>
      <c r="F48" s="2"/>
      <c r="G48" s="2"/>
      <c r="H48" s="2"/>
      <c r="I48" s="2"/>
      <c r="J48" s="2"/>
      <c r="K48" s="2"/>
    </row>
    <row r="49" spans="2:11">
      <c r="B49" s="2"/>
      <c r="C49" s="2"/>
      <c r="D49" s="2"/>
      <c r="E49" s="2"/>
      <c r="F49" s="2"/>
      <c r="G49" s="2"/>
      <c r="H49" s="2"/>
      <c r="I49" s="2"/>
      <c r="J49" s="2"/>
      <c r="K49" s="2"/>
    </row>
    <row r="50" spans="2:11">
      <c r="B50" s="2"/>
      <c r="C50" s="2"/>
      <c r="D50" s="2"/>
      <c r="E50" s="2"/>
      <c r="F50" s="2"/>
      <c r="G50" s="2"/>
      <c r="H50" s="2"/>
      <c r="I50" s="2"/>
      <c r="J50" s="2"/>
      <c r="K50" s="2"/>
    </row>
    <row r="51" spans="2:11">
      <c r="B51" s="2"/>
      <c r="C51" s="2"/>
      <c r="D51" s="2"/>
      <c r="E51" s="2"/>
      <c r="F51" s="2"/>
      <c r="G51" s="2"/>
      <c r="H51" s="2"/>
      <c r="I51" s="2"/>
      <c r="J51" s="2"/>
      <c r="K51" s="2"/>
    </row>
    <row r="52" spans="2:11">
      <c r="B52" s="2"/>
      <c r="C52" s="2"/>
      <c r="D52" s="2"/>
      <c r="E52" s="2"/>
      <c r="F52" s="2"/>
      <c r="G52" s="2"/>
      <c r="H52" s="2"/>
      <c r="I52" s="2"/>
      <c r="J52" s="2"/>
      <c r="K52" s="2"/>
    </row>
    <row r="53" spans="2:11">
      <c r="B53" s="2"/>
      <c r="C53" s="2"/>
      <c r="D53" s="2"/>
      <c r="E53" s="2"/>
      <c r="F53" s="2"/>
      <c r="G53" s="2"/>
      <c r="H53" s="2"/>
      <c r="I53" s="2"/>
      <c r="J53" s="2"/>
      <c r="K53" s="2"/>
    </row>
    <row r="54" spans="2:11">
      <c r="B54" s="2"/>
      <c r="C54" s="2"/>
      <c r="D54" s="2"/>
      <c r="E54" s="2"/>
      <c r="F54" s="2"/>
      <c r="G54" s="2"/>
      <c r="H54" s="2"/>
      <c r="I54" s="2"/>
      <c r="J54" s="2"/>
      <c r="K54" s="2"/>
    </row>
    <row r="55" spans="2:11">
      <c r="B55" s="2"/>
      <c r="C55" s="2"/>
      <c r="D55" s="2"/>
      <c r="E55" s="2"/>
      <c r="F55" s="2"/>
      <c r="G55" s="2"/>
      <c r="H55" s="2"/>
      <c r="I55" s="2"/>
      <c r="J55" s="2"/>
      <c r="K55" s="2"/>
    </row>
    <row r="56" spans="2:11">
      <c r="B56" s="2"/>
      <c r="C56" s="2"/>
      <c r="D56" s="2"/>
      <c r="E56" s="2"/>
      <c r="F56" s="2"/>
      <c r="G56" s="2"/>
      <c r="H56" s="2"/>
      <c r="I56" s="2"/>
      <c r="J56" s="2"/>
      <c r="K56" s="2"/>
    </row>
    <row r="57" spans="2:11">
      <c r="B57" s="2"/>
      <c r="C57" s="2"/>
      <c r="D57" s="2"/>
      <c r="E57" s="2"/>
      <c r="F57" s="2"/>
      <c r="G57" s="2"/>
      <c r="H57" s="2"/>
      <c r="I57" s="2"/>
      <c r="J57" s="2"/>
      <c r="K57" s="2"/>
    </row>
    <row r="58" spans="2:11">
      <c r="B58" s="2"/>
      <c r="C58" s="2"/>
      <c r="D58" s="2"/>
      <c r="E58" s="2"/>
      <c r="F58" s="2"/>
      <c r="G58" s="2"/>
      <c r="H58" s="2"/>
      <c r="I58" s="2"/>
      <c r="J58" s="2"/>
      <c r="K58" s="2"/>
    </row>
    <row r="59" spans="2:11">
      <c r="B59" s="2"/>
      <c r="C59" s="2"/>
      <c r="D59" s="2"/>
      <c r="E59" s="2"/>
      <c r="F59" s="2"/>
      <c r="G59" s="2"/>
      <c r="H59" s="2"/>
      <c r="I59" s="2"/>
      <c r="J59" s="2"/>
      <c r="K59" s="2"/>
    </row>
    <row r="60" spans="2:11">
      <c r="B60" s="2"/>
      <c r="C60" s="2"/>
      <c r="D60" s="2"/>
      <c r="E60" s="2"/>
      <c r="F60" s="2"/>
      <c r="G60" s="2"/>
      <c r="H60" s="2"/>
      <c r="I60" s="2"/>
      <c r="J60" s="2"/>
      <c r="K60" s="2"/>
    </row>
    <row r="61" spans="2:11">
      <c r="B61" s="2"/>
      <c r="C61" s="2"/>
      <c r="D61" s="2"/>
      <c r="E61" s="2"/>
      <c r="F61" s="2"/>
      <c r="G61" s="2"/>
      <c r="H61" s="2"/>
      <c r="I61" s="2"/>
      <c r="J61" s="2"/>
      <c r="K61" s="2"/>
    </row>
    <row r="62" spans="2:11">
      <c r="B62" s="2"/>
      <c r="C62" s="2"/>
      <c r="D62" s="2"/>
      <c r="E62" s="2"/>
      <c r="F62" s="2"/>
      <c r="G62" s="2"/>
      <c r="H62" s="2"/>
      <c r="I62" s="2"/>
      <c r="J62" s="2"/>
      <c r="K62" s="2"/>
    </row>
    <row r="63" spans="2:11">
      <c r="B63" s="2"/>
      <c r="C63" s="2"/>
      <c r="D63" s="2"/>
      <c r="E63" s="2"/>
      <c r="F63" s="2"/>
      <c r="G63" s="2"/>
      <c r="H63" s="2"/>
      <c r="I63" s="2"/>
      <c r="J63" s="2"/>
      <c r="K63" s="2"/>
    </row>
    <row r="64" spans="2:11">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row r="76" spans="2:11">
      <c r="B76" s="2"/>
      <c r="C76" s="2"/>
      <c r="D76" s="2"/>
      <c r="E76" s="2"/>
      <c r="F76" s="2"/>
      <c r="G76" s="2"/>
      <c r="H76" s="2"/>
      <c r="I76" s="2"/>
      <c r="J76" s="2"/>
      <c r="K76" s="2"/>
    </row>
    <row r="77" spans="2:11">
      <c r="B77" s="2"/>
      <c r="C77" s="2"/>
      <c r="D77" s="2"/>
      <c r="E77" s="2"/>
      <c r="F77" s="2"/>
      <c r="G77" s="2"/>
      <c r="H77" s="2"/>
      <c r="I77" s="2"/>
      <c r="J77" s="2"/>
      <c r="K77" s="2"/>
    </row>
    <row r="78" spans="2:11">
      <c r="B78" s="2"/>
      <c r="C78" s="2"/>
      <c r="D78" s="2"/>
      <c r="E78" s="2"/>
      <c r="F78" s="2"/>
      <c r="G78" s="2"/>
      <c r="H78" s="2"/>
      <c r="I78" s="2"/>
      <c r="J78" s="2"/>
      <c r="K78" s="2"/>
    </row>
    <row r="79" spans="2:11">
      <c r="B79" s="2"/>
      <c r="C79" s="2"/>
      <c r="D79" s="2"/>
      <c r="E79" s="2"/>
      <c r="F79" s="2"/>
      <c r="G79" s="2"/>
      <c r="H79" s="2"/>
      <c r="I79" s="2"/>
      <c r="J79" s="2"/>
      <c r="K79" s="2"/>
    </row>
    <row r="80" spans="2:11">
      <c r="B80" s="2"/>
      <c r="C80" s="2"/>
      <c r="D80" s="2"/>
      <c r="E80" s="2"/>
      <c r="F80" s="2"/>
      <c r="G80" s="2"/>
      <c r="H80" s="2"/>
      <c r="I80" s="2"/>
      <c r="J80" s="2"/>
      <c r="K80" s="2"/>
    </row>
    <row r="81" spans="2:11">
      <c r="B81" s="2"/>
      <c r="C81" s="2"/>
      <c r="D81" s="2"/>
      <c r="E81" s="2"/>
      <c r="F81" s="2"/>
      <c r="G81" s="2"/>
      <c r="H81" s="2"/>
      <c r="I81" s="2"/>
      <c r="J81" s="2"/>
      <c r="K81" s="2"/>
    </row>
    <row r="82" spans="2:11">
      <c r="B82" s="2"/>
      <c r="C82" s="2"/>
      <c r="D82" s="2"/>
      <c r="E82" s="2"/>
      <c r="F82" s="2"/>
      <c r="G82" s="2"/>
      <c r="H82" s="2"/>
      <c r="I82" s="2"/>
      <c r="J82" s="2"/>
      <c r="K82" s="2"/>
    </row>
    <row r="83" spans="2:11">
      <c r="B83" s="2"/>
      <c r="C83" s="2"/>
      <c r="D83" s="2"/>
      <c r="E83" s="2"/>
      <c r="F83" s="2"/>
      <c r="G83" s="2"/>
      <c r="H83" s="2"/>
      <c r="I83" s="2"/>
      <c r="J83" s="2"/>
      <c r="K83" s="2"/>
    </row>
    <row r="84" spans="2:11">
      <c r="B84" s="2"/>
      <c r="C84" s="2"/>
      <c r="D84" s="2"/>
      <c r="E84" s="2"/>
      <c r="F84" s="2"/>
      <c r="G84" s="2"/>
      <c r="H84" s="2"/>
      <c r="I84" s="2"/>
      <c r="J84" s="2"/>
      <c r="K84" s="2"/>
    </row>
    <row r="85" spans="2:11">
      <c r="B85" s="2"/>
      <c r="C85" s="2"/>
      <c r="D85" s="2"/>
      <c r="E85" s="2"/>
      <c r="F85" s="2"/>
      <c r="G85" s="2"/>
      <c r="H85" s="2"/>
      <c r="I85" s="2"/>
      <c r="J85" s="2"/>
      <c r="K85" s="2"/>
    </row>
    <row r="86" spans="2:11">
      <c r="B86" s="2"/>
      <c r="C86" s="2"/>
      <c r="D86" s="2"/>
      <c r="E86" s="2"/>
      <c r="F86" s="2"/>
      <c r="G86" s="2"/>
      <c r="H86" s="2"/>
      <c r="I86" s="2"/>
      <c r="J86" s="2"/>
      <c r="K86" s="2"/>
    </row>
    <row r="87" spans="2:11">
      <c r="B87" s="2"/>
      <c r="C87" s="2"/>
      <c r="D87" s="2"/>
      <c r="E87" s="2"/>
      <c r="F87" s="2"/>
      <c r="G87" s="2"/>
      <c r="H87" s="2"/>
      <c r="I87" s="2"/>
      <c r="J87" s="2"/>
      <c r="K87" s="2"/>
    </row>
    <row r="88" spans="2:11">
      <c r="B88" s="2"/>
      <c r="C88" s="2"/>
      <c r="D88" s="2"/>
      <c r="E88" s="2"/>
      <c r="F88" s="2"/>
      <c r="G88" s="2"/>
      <c r="H88" s="2"/>
      <c r="I88" s="2"/>
      <c r="J88" s="2"/>
      <c r="K88" s="2"/>
    </row>
    <row r="89" spans="2:11">
      <c r="B89" s="2"/>
      <c r="C89" s="2"/>
      <c r="D89" s="2"/>
      <c r="E89" s="2"/>
      <c r="F89" s="2"/>
      <c r="G89" s="2"/>
      <c r="H89" s="2"/>
      <c r="I89" s="2"/>
      <c r="J89" s="2"/>
      <c r="K89" s="2"/>
    </row>
    <row r="90" spans="2:11">
      <c r="B90" s="2"/>
      <c r="C90" s="2"/>
      <c r="D90" s="2"/>
      <c r="E90" s="2"/>
      <c r="F90" s="2"/>
      <c r="G90" s="2"/>
      <c r="H90" s="2"/>
      <c r="I90" s="2"/>
      <c r="J90" s="2"/>
      <c r="K90" s="2"/>
    </row>
    <row r="91" spans="2:11">
      <c r="B91" s="2"/>
      <c r="C91" s="2"/>
      <c r="D91" s="2"/>
      <c r="E91" s="2"/>
      <c r="F91" s="2"/>
      <c r="G91" s="2"/>
      <c r="H91" s="2"/>
      <c r="I91" s="2"/>
      <c r="J91" s="2"/>
      <c r="K91" s="2"/>
    </row>
    <row r="92" spans="2:11">
      <c r="B92" s="2"/>
      <c r="C92" s="2"/>
      <c r="D92" s="2"/>
      <c r="E92" s="2"/>
      <c r="F92" s="2"/>
      <c r="G92" s="2"/>
      <c r="H92" s="2"/>
      <c r="I92" s="2"/>
      <c r="J92" s="2"/>
      <c r="K92" s="2"/>
    </row>
  </sheetData>
  <mergeCells count="2">
    <mergeCell ref="A1:K1"/>
    <mergeCell ref="A2:K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AW9"/>
  <sheetViews>
    <sheetView workbookViewId="0">
      <selection sqref="A1:K1"/>
    </sheetView>
  </sheetViews>
  <sheetFormatPr defaultRowHeight="15"/>
  <cols>
    <col min="1" max="1" width="62" style="3" bestFit="1" customWidth="1"/>
    <col min="2" max="2" width="6.5703125" style="3" bestFit="1" customWidth="1"/>
    <col min="3" max="3" width="7.28515625" style="3" bestFit="1" customWidth="1"/>
    <col min="4" max="4" width="6.5703125" style="3" bestFit="1" customWidth="1"/>
    <col min="5" max="8" width="7.28515625" style="3" bestFit="1" customWidth="1"/>
    <col min="9" max="9" width="8.42578125" style="3" bestFit="1" customWidth="1"/>
    <col min="10" max="11" width="7.28515625" style="3" bestFit="1" customWidth="1"/>
    <col min="12" max="12" width="9.140625" style="3"/>
    <col min="13" max="18" width="11" style="3" customWidth="1"/>
    <col min="19" max="16384" width="9.140625" style="3"/>
  </cols>
  <sheetData>
    <row r="1" spans="1:49" ht="20.25" thickBot="1">
      <c r="A1" s="257" t="s">
        <v>211</v>
      </c>
      <c r="B1" s="258"/>
      <c r="C1" s="258"/>
      <c r="D1" s="258"/>
      <c r="E1" s="258"/>
      <c r="F1" s="258"/>
      <c r="G1" s="258"/>
      <c r="H1" s="258"/>
      <c r="I1" s="258"/>
      <c r="J1" s="258"/>
      <c r="K1" s="259"/>
    </row>
    <row r="2" spans="1:49" ht="15.75" thickBot="1">
      <c r="A2" s="254" t="s">
        <v>237</v>
      </c>
      <c r="B2" s="255"/>
      <c r="C2" s="255"/>
      <c r="D2" s="255"/>
      <c r="E2" s="255"/>
      <c r="F2" s="255"/>
      <c r="G2" s="255"/>
      <c r="H2" s="255"/>
      <c r="I2" s="255"/>
      <c r="J2" s="255"/>
      <c r="K2" s="256"/>
    </row>
    <row r="3" spans="1:49" ht="15.75" customHeight="1" thickBot="1">
      <c r="A3" s="98" t="s">
        <v>206</v>
      </c>
      <c r="B3" s="99" t="s">
        <v>25</v>
      </c>
      <c r="C3" s="99" t="s">
        <v>24</v>
      </c>
      <c r="D3" s="99" t="s">
        <v>26</v>
      </c>
      <c r="E3" s="99" t="s">
        <v>27</v>
      </c>
      <c r="F3" s="99" t="s">
        <v>28</v>
      </c>
      <c r="G3" s="99" t="s">
        <v>17</v>
      </c>
      <c r="H3" s="99" t="s">
        <v>18</v>
      </c>
      <c r="I3" s="99" t="s">
        <v>19</v>
      </c>
      <c r="J3" s="99" t="s">
        <v>20</v>
      </c>
      <c r="K3" s="100" t="s">
        <v>21</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c r="A4" s="181" t="s">
        <v>120</v>
      </c>
      <c r="B4" s="178">
        <v>153.63</v>
      </c>
      <c r="C4" s="178">
        <v>248.78</v>
      </c>
      <c r="D4" s="178">
        <v>111.03</v>
      </c>
      <c r="E4" s="178">
        <v>178.68</v>
      </c>
      <c r="F4" s="178">
        <v>257.93</v>
      </c>
      <c r="G4" s="178">
        <v>479.82</v>
      </c>
      <c r="H4" s="178">
        <v>389.4</v>
      </c>
      <c r="I4" s="178">
        <v>1063.1600000000001</v>
      </c>
      <c r="J4" s="178">
        <v>762.46</v>
      </c>
      <c r="K4" s="179">
        <v>826.37</v>
      </c>
      <c r="L4" s="2"/>
      <c r="M4" s="2"/>
      <c r="N4" s="218" t="s">
        <v>251</v>
      </c>
      <c r="O4" s="260"/>
      <c r="P4" s="260"/>
      <c r="Q4" s="260"/>
      <c r="R4" s="261"/>
    </row>
    <row r="5" spans="1:49">
      <c r="A5" s="181" t="s">
        <v>121</v>
      </c>
      <c r="B5" s="178">
        <v>-39.950000000000003</v>
      </c>
      <c r="C5" s="178">
        <v>-44.19</v>
      </c>
      <c r="D5" s="178">
        <v>-96.7</v>
      </c>
      <c r="E5" s="178">
        <v>-86.72</v>
      </c>
      <c r="F5" s="178">
        <v>-81.95</v>
      </c>
      <c r="G5" s="178">
        <v>-308.05</v>
      </c>
      <c r="H5" s="178">
        <v>-310.05</v>
      </c>
      <c r="I5" s="178">
        <v>-395.31</v>
      </c>
      <c r="J5" s="178">
        <v>-156.1</v>
      </c>
      <c r="K5" s="179">
        <v>-673.16</v>
      </c>
      <c r="L5" s="2"/>
      <c r="M5" s="2"/>
      <c r="N5" s="262"/>
      <c r="O5" s="263"/>
      <c r="P5" s="263"/>
      <c r="Q5" s="263"/>
      <c r="R5" s="264"/>
    </row>
    <row r="6" spans="1:49" ht="15.75">
      <c r="A6" s="153" t="s">
        <v>125</v>
      </c>
      <c r="B6" s="34">
        <f>B4+B5</f>
        <v>113.67999999999999</v>
      </c>
      <c r="C6" s="34">
        <f t="shared" ref="C6:K6" si="0">C4+C5</f>
        <v>204.59</v>
      </c>
      <c r="D6" s="34">
        <f t="shared" si="0"/>
        <v>14.329999999999998</v>
      </c>
      <c r="E6" s="34">
        <f t="shared" si="0"/>
        <v>91.960000000000008</v>
      </c>
      <c r="F6" s="34">
        <f t="shared" si="0"/>
        <v>175.98000000000002</v>
      </c>
      <c r="G6" s="34">
        <f t="shared" si="0"/>
        <v>171.76999999999998</v>
      </c>
      <c r="H6" s="34">
        <f t="shared" si="0"/>
        <v>79.349999999999966</v>
      </c>
      <c r="I6" s="34">
        <f t="shared" si="0"/>
        <v>667.85000000000014</v>
      </c>
      <c r="J6" s="34">
        <f t="shared" si="0"/>
        <v>606.36</v>
      </c>
      <c r="K6" s="154">
        <f t="shared" si="0"/>
        <v>153.21000000000004</v>
      </c>
      <c r="L6" s="2"/>
      <c r="M6" s="2"/>
      <c r="N6" s="262"/>
      <c r="O6" s="263"/>
      <c r="P6" s="263"/>
      <c r="Q6" s="263"/>
      <c r="R6" s="264"/>
    </row>
    <row r="7" spans="1:49">
      <c r="A7" s="177" t="s">
        <v>122</v>
      </c>
      <c r="B7" s="178">
        <v>-70.36</v>
      </c>
      <c r="C7" s="178">
        <v>-113.15</v>
      </c>
      <c r="D7" s="178">
        <v>-73.849999999999994</v>
      </c>
      <c r="E7" s="178">
        <v>-125.03</v>
      </c>
      <c r="F7" s="178">
        <v>-109.47</v>
      </c>
      <c r="G7" s="178">
        <v>-334.79</v>
      </c>
      <c r="H7" s="178">
        <v>-270.05</v>
      </c>
      <c r="I7" s="178">
        <v>-299.02</v>
      </c>
      <c r="J7" s="178">
        <v>-440.4</v>
      </c>
      <c r="K7" s="179">
        <v>-512.13</v>
      </c>
      <c r="N7" s="262"/>
      <c r="O7" s="263"/>
      <c r="P7" s="263"/>
      <c r="Q7" s="263"/>
      <c r="R7" s="264"/>
    </row>
    <row r="8" spans="1:49" ht="15.75" thickBot="1">
      <c r="A8" s="177" t="s">
        <v>123</v>
      </c>
      <c r="B8" s="178">
        <v>-59.05</v>
      </c>
      <c r="C8" s="178">
        <v>-133.87</v>
      </c>
      <c r="D8" s="178">
        <v>-41.85</v>
      </c>
      <c r="E8" s="178">
        <v>-41.57</v>
      </c>
      <c r="F8" s="178">
        <v>-110.77</v>
      </c>
      <c r="G8" s="178">
        <v>-133.63</v>
      </c>
      <c r="H8" s="178">
        <v>-230.37</v>
      </c>
      <c r="I8" s="178">
        <v>-331.88</v>
      </c>
      <c r="J8" s="178">
        <v>-334.49</v>
      </c>
      <c r="K8" s="179">
        <v>-326.51</v>
      </c>
      <c r="N8" s="265"/>
      <c r="O8" s="266"/>
      <c r="P8" s="266"/>
      <c r="Q8" s="266"/>
      <c r="R8" s="267"/>
    </row>
    <row r="9" spans="1:49" ht="16.5" thickBot="1">
      <c r="A9" s="155" t="s">
        <v>124</v>
      </c>
      <c r="B9" s="156">
        <f t="shared" ref="B9:J9" si="1">B4+B7+B8</f>
        <v>24.22</v>
      </c>
      <c r="C9" s="156">
        <f t="shared" si="1"/>
        <v>1.7599999999999909</v>
      </c>
      <c r="D9" s="156">
        <f t="shared" si="1"/>
        <v>-4.6699999999999946</v>
      </c>
      <c r="E9" s="156">
        <f t="shared" si="1"/>
        <v>12.080000000000005</v>
      </c>
      <c r="F9" s="156">
        <f t="shared" si="1"/>
        <v>37.690000000000012</v>
      </c>
      <c r="G9" s="156">
        <f t="shared" si="1"/>
        <v>11.399999999999977</v>
      </c>
      <c r="H9" s="156">
        <f t="shared" si="1"/>
        <v>-111.02000000000004</v>
      </c>
      <c r="I9" s="156">
        <f t="shared" si="1"/>
        <v>432.2600000000001</v>
      </c>
      <c r="J9" s="156">
        <f t="shared" si="1"/>
        <v>-12.42999999999995</v>
      </c>
      <c r="K9" s="157">
        <f>K4+K7+K8</f>
        <v>-12.269999999999982</v>
      </c>
    </row>
  </sheetData>
  <mergeCells count="3">
    <mergeCell ref="A1:K1"/>
    <mergeCell ref="A2:K2"/>
    <mergeCell ref="N4:R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dimension ref="A1:U38"/>
  <sheetViews>
    <sheetView workbookViewId="0">
      <selection sqref="A1:K1"/>
    </sheetView>
  </sheetViews>
  <sheetFormatPr defaultColWidth="7.28515625" defaultRowHeight="15"/>
  <cols>
    <col min="1" max="1" width="36.7109375" style="3" bestFit="1" customWidth="1"/>
    <col min="2" max="6" width="7.85546875" style="3" bestFit="1" customWidth="1"/>
    <col min="7" max="11" width="8.42578125" style="3" bestFit="1" customWidth="1"/>
    <col min="12" max="16384" width="7.28515625" style="3"/>
  </cols>
  <sheetData>
    <row r="1" spans="1:21" s="22" customFormat="1" ht="20.25" thickBot="1">
      <c r="A1" s="251" t="s">
        <v>212</v>
      </c>
      <c r="B1" s="252"/>
      <c r="C1" s="252"/>
      <c r="D1" s="252"/>
      <c r="E1" s="252"/>
      <c r="F1" s="252"/>
      <c r="G1" s="252"/>
      <c r="H1" s="252"/>
      <c r="I1" s="252"/>
      <c r="J1" s="252"/>
      <c r="K1" s="253"/>
    </row>
    <row r="2" spans="1:21" s="22" customFormat="1" ht="15.75" thickBot="1">
      <c r="A2" s="269" t="s">
        <v>236</v>
      </c>
      <c r="B2" s="269"/>
      <c r="C2" s="269"/>
      <c r="D2" s="269"/>
      <c r="E2" s="269"/>
      <c r="F2" s="269"/>
      <c r="G2" s="269"/>
      <c r="H2" s="269"/>
      <c r="I2" s="269"/>
      <c r="J2" s="269"/>
      <c r="K2" s="269"/>
    </row>
    <row r="3" spans="1:21" s="23" customFormat="1" ht="15.75" customHeight="1">
      <c r="A3" s="139" t="s">
        <v>53</v>
      </c>
      <c r="B3" s="99" t="s">
        <v>25</v>
      </c>
      <c r="C3" s="99" t="s">
        <v>24</v>
      </c>
      <c r="D3" s="99" t="s">
        <v>26</v>
      </c>
      <c r="E3" s="99" t="s">
        <v>27</v>
      </c>
      <c r="F3" s="99" t="s">
        <v>28</v>
      </c>
      <c r="G3" s="99" t="s">
        <v>17</v>
      </c>
      <c r="H3" s="99" t="s">
        <v>18</v>
      </c>
      <c r="I3" s="99" t="s">
        <v>19</v>
      </c>
      <c r="J3" s="99" t="s">
        <v>20</v>
      </c>
      <c r="K3" s="100" t="s">
        <v>21</v>
      </c>
      <c r="O3" s="218" t="s">
        <v>249</v>
      </c>
      <c r="P3" s="219"/>
      <c r="Q3" s="219"/>
      <c r="R3" s="219"/>
      <c r="S3" s="219"/>
      <c r="T3" s="219"/>
      <c r="U3" s="220"/>
    </row>
    <row r="4" spans="1:21" ht="15" customHeight="1">
      <c r="A4" s="140" t="s">
        <v>234</v>
      </c>
      <c r="B4" s="29">
        <f>'P &amp; L Account'!B28</f>
        <v>14.49544624159318</v>
      </c>
      <c r="C4" s="29">
        <f>'P &amp; L Account'!C28</f>
        <v>15.104288344951264</v>
      </c>
      <c r="D4" s="29">
        <f>'P &amp; L Account'!D28</f>
        <v>18.148498861741579</v>
      </c>
      <c r="E4" s="29">
        <f>'P &amp; L Account'!E28</f>
        <v>22.118482987747552</v>
      </c>
      <c r="F4" s="29">
        <f>'P &amp; L Account'!F28</f>
        <v>29.298441148410109</v>
      </c>
      <c r="G4" s="29">
        <f>'P &amp; L Account'!G28</f>
        <v>42.658563673296094</v>
      </c>
      <c r="H4" s="29">
        <f>'P &amp; L Account'!H28</f>
        <v>41.476325753419481</v>
      </c>
      <c r="I4" s="29">
        <f>'P &amp; L Account'!I28</f>
        <v>87.118632748309352</v>
      </c>
      <c r="J4" s="29">
        <f>'P &amp; L Account'!J28</f>
        <v>87.910961512953421</v>
      </c>
      <c r="K4" s="141">
        <f>'P &amp; L Account'!K28</f>
        <v>103.07884466664576</v>
      </c>
      <c r="O4" s="221"/>
      <c r="P4" s="222"/>
      <c r="Q4" s="222"/>
      <c r="R4" s="222"/>
      <c r="S4" s="222"/>
      <c r="T4" s="222"/>
      <c r="U4" s="223"/>
    </row>
    <row r="5" spans="1:21" ht="15" customHeight="1">
      <c r="A5" s="140" t="s">
        <v>235</v>
      </c>
      <c r="B5" s="29">
        <f>'Balance Sheet'!B7/'First Page'!$B$15</f>
        <v>49.785352403699768</v>
      </c>
      <c r="C5" s="29">
        <f>'Balance Sheet'!C7/'First Page'!$B$15</f>
        <v>55.200293987332898</v>
      </c>
      <c r="D5" s="29">
        <f>'Balance Sheet'!D7/'First Page'!$B$15</f>
        <v>59.130661675106651</v>
      </c>
      <c r="E5" s="29">
        <f>'Balance Sheet'!E7/'First Page'!$B$15</f>
        <v>67.374008440949396</v>
      </c>
      <c r="F5" s="29">
        <f>'Balance Sheet'!F7/'First Page'!$B$15</f>
        <v>81.087551296380695</v>
      </c>
      <c r="G5" s="29">
        <f>'Balance Sheet'!G7/'First Page'!$B$15</f>
        <v>102.41579059518058</v>
      </c>
      <c r="H5" s="29">
        <f>'Balance Sheet'!H7/'First Page'!$B$15</f>
        <v>125.43502628378658</v>
      </c>
      <c r="I5" s="29">
        <f>'Balance Sheet'!I7/'First Page'!$B$15</f>
        <v>178.27188696921414</v>
      </c>
      <c r="J5" s="29">
        <f>'Balance Sheet'!J7/'First Page'!$B$15</f>
        <v>228.04681399443174</v>
      </c>
      <c r="K5" s="141">
        <f>'Balance Sheet'!K7/'First Page'!$B$15</f>
        <v>286.54152758212672</v>
      </c>
      <c r="O5" s="221"/>
      <c r="P5" s="222"/>
      <c r="Q5" s="222"/>
      <c r="R5" s="222"/>
      <c r="S5" s="222"/>
      <c r="T5" s="222"/>
      <c r="U5" s="223"/>
    </row>
    <row r="6" spans="1:21" ht="15" customHeight="1">
      <c r="A6" s="140" t="s">
        <v>62</v>
      </c>
      <c r="B6" s="36">
        <f>'P &amp; L Account'!B23/'P &amp; L Account'!B22</f>
        <v>0.38123673036093442</v>
      </c>
      <c r="C6" s="36">
        <f>'P &amp; L Account'!C23/'P &amp; L Account'!C22</f>
        <v>0.39541727979819197</v>
      </c>
      <c r="D6" s="36">
        <f>'P &amp; L Account'!D23/'P &amp; L Account'!D22</f>
        <v>0.36924416579588948</v>
      </c>
      <c r="E6" s="36">
        <f>'P &amp; L Account'!E23/'P &amp; L Account'!E22</f>
        <v>0.38562891706748231</v>
      </c>
      <c r="F6" s="36">
        <f>'P &amp; L Account'!F23/'P &amp; L Account'!F22</f>
        <v>0.34095083110542806</v>
      </c>
      <c r="G6" s="36">
        <f>'P &amp; L Account'!G23/'P &amp; L Account'!G22</f>
        <v>0.32208355769535391</v>
      </c>
      <c r="H6" s="36">
        <f>'P &amp; L Account'!H23/'P &amp; L Account'!H22</f>
        <v>0.31998638286835124</v>
      </c>
      <c r="I6" s="36">
        <f>'P &amp; L Account'!I23/'P &amp; L Account'!I22</f>
        <v>0.29682105296654004</v>
      </c>
      <c r="J6" s="36">
        <f>'P &amp; L Account'!J23/'P &amp; L Account'!J22</f>
        <v>0.30037150523123823</v>
      </c>
      <c r="K6" s="142">
        <f>'P &amp; L Account'!K23/'P &amp; L Account'!K22</f>
        <v>0.29812665052816922</v>
      </c>
      <c r="O6" s="221"/>
      <c r="P6" s="222"/>
      <c r="Q6" s="222"/>
      <c r="R6" s="222"/>
      <c r="S6" s="222"/>
      <c r="T6" s="222"/>
      <c r="U6" s="223"/>
    </row>
    <row r="7" spans="1:21" ht="15" customHeight="1">
      <c r="A7" s="140" t="s">
        <v>263</v>
      </c>
      <c r="B7" s="37">
        <f>'P &amp; L Account'!B31/'First Page'!$B$15</f>
        <v>7.314445543082412</v>
      </c>
      <c r="C7" s="37">
        <f>'P &amp; L Account'!C31/'First Page'!$B$15</f>
        <v>8.4998110765038355</v>
      </c>
      <c r="D7" s="37">
        <f>'P &amp; L Account'!D31/'First Page'!$B$15</f>
        <v>9.5006474107910517</v>
      </c>
      <c r="E7" s="37">
        <f>'P &amp; L Account'!E31/'First Page'!$B$15</f>
        <v>12.500028800108058</v>
      </c>
      <c r="F7" s="37">
        <f>'P &amp; L Account'!F31/'First Page'!$B$15</f>
        <v>12.99940442940345</v>
      </c>
      <c r="G7" s="37">
        <f>'P &amp; L Account'!G31/'First Page'!$B$15</f>
        <v>16.998579615159457</v>
      </c>
      <c r="H7" s="37">
        <f>'P &amp; L Account'!H31/'First Page'!$B$15</f>
        <v>17.500040320151282</v>
      </c>
      <c r="I7" s="37">
        <f>'P &amp; L Account'!I31/'First Page'!$B$15</f>
        <v>26.999645193094118</v>
      </c>
      <c r="J7" s="37">
        <f>'P &amp; L Account'!J31/'First Page'!$B$15</f>
        <v>31.999656713137341</v>
      </c>
      <c r="K7" s="143">
        <f>'P &amp; L Account'!K31/'First Page'!$B$15</f>
        <v>40.001134698194001</v>
      </c>
      <c r="O7" s="221"/>
      <c r="P7" s="222"/>
      <c r="Q7" s="222"/>
      <c r="R7" s="222"/>
      <c r="S7" s="222"/>
      <c r="T7" s="222"/>
      <c r="U7" s="223"/>
    </row>
    <row r="8" spans="1:21" ht="15.75" customHeight="1" thickBot="1">
      <c r="A8" s="144" t="s">
        <v>63</v>
      </c>
      <c r="B8" s="145">
        <f>'P &amp; L Account'!B31/'P &amp; L Account'!B27</f>
        <v>0.50460299194476466</v>
      </c>
      <c r="C8" s="145">
        <f>'P &amp; L Account'!C31/'P &amp; L Account'!C27</f>
        <v>0.56274157923798962</v>
      </c>
      <c r="D8" s="145">
        <f>'P &amp; L Account'!D31/'P &amp; L Account'!D27</f>
        <v>0.52349494485294001</v>
      </c>
      <c r="E8" s="145">
        <f>'P &amp; L Account'!E31/'P &amp; L Account'!E27</f>
        <v>0.56513951734539847</v>
      </c>
      <c r="F8" s="145">
        <f>'P &amp; L Account'!F31/'P &amp; L Account'!F27</f>
        <v>0.44368928584136863</v>
      </c>
      <c r="G8" s="145">
        <f>'P &amp; L Account'!G31/'P &amp; L Account'!G27</f>
        <v>0.3984798866024743</v>
      </c>
      <c r="H8" s="145">
        <f>'P &amp; L Account'!H31/'P &amp; L Account'!H27</f>
        <v>0.42192841343253523</v>
      </c>
      <c r="I8" s="145">
        <f>'P &amp; L Account'!I31/'P &amp; L Account'!I27</f>
        <v>0.3099181465702936</v>
      </c>
      <c r="J8" s="145">
        <f>'P &amp; L Account'!J31/'P &amp; L Account'!J27</f>
        <v>0.36400075897727818</v>
      </c>
      <c r="K8" s="146">
        <f>'P &amp; L Account'!K31/'P &amp; L Account'!K27</f>
        <v>0.38806347536739089</v>
      </c>
      <c r="O8" s="224"/>
      <c r="P8" s="225"/>
      <c r="Q8" s="225"/>
      <c r="R8" s="225"/>
      <c r="S8" s="225"/>
      <c r="T8" s="225"/>
      <c r="U8" s="226"/>
    </row>
    <row r="9" spans="1:21" ht="15.75" thickBot="1">
      <c r="A9" s="1"/>
      <c r="B9" s="1"/>
      <c r="C9" s="1"/>
      <c r="D9" s="1"/>
      <c r="E9" s="1"/>
      <c r="F9" s="1"/>
      <c r="G9" s="1"/>
      <c r="H9" s="1"/>
      <c r="I9" s="1"/>
      <c r="J9" s="1"/>
      <c r="K9" s="1"/>
    </row>
    <row r="10" spans="1:21" ht="15.75" customHeight="1">
      <c r="A10" s="139" t="s">
        <v>57</v>
      </c>
      <c r="B10" s="99" t="s">
        <v>25</v>
      </c>
      <c r="C10" s="99" t="s">
        <v>24</v>
      </c>
      <c r="D10" s="99" t="s">
        <v>26</v>
      </c>
      <c r="E10" s="99" t="s">
        <v>27</v>
      </c>
      <c r="F10" s="99" t="s">
        <v>28</v>
      </c>
      <c r="G10" s="99" t="s">
        <v>17</v>
      </c>
      <c r="H10" s="99" t="s">
        <v>18</v>
      </c>
      <c r="I10" s="99" t="s">
        <v>19</v>
      </c>
      <c r="J10" s="99" t="s">
        <v>20</v>
      </c>
      <c r="K10" s="100" t="s">
        <v>21</v>
      </c>
      <c r="L10" s="8"/>
      <c r="O10" s="218" t="s">
        <v>250</v>
      </c>
      <c r="P10" s="260"/>
      <c r="Q10" s="260"/>
      <c r="R10" s="260"/>
      <c r="S10" s="260"/>
      <c r="T10" s="260"/>
      <c r="U10" s="261"/>
    </row>
    <row r="11" spans="1:21" ht="15.75" customHeight="1">
      <c r="A11" s="140" t="s">
        <v>128</v>
      </c>
      <c r="B11" s="36">
        <f>('P &amp; L Account'!B4-'P &amp; L Account'!B7-'P &amp; L Account'!B8-'P &amp; L Account'!B10)/'P &amp; L Account'!B4</f>
        <v>0.44843162823454324</v>
      </c>
      <c r="C11" s="36">
        <f>('P &amp; L Account'!C4-'P &amp; L Account'!C7-'P &amp; L Account'!C8-'P &amp; L Account'!C10)/'P &amp; L Account'!C4</f>
        <v>0.42423987055888907</v>
      </c>
      <c r="D11" s="36">
        <f>('P &amp; L Account'!D4-'P &amp; L Account'!D7-'P &amp; L Account'!D8-'P &amp; L Account'!D10)/'P &amp; L Account'!D4</f>
        <v>0.38260045223904954</v>
      </c>
      <c r="E11" s="36">
        <f>('P &amp; L Account'!E4-'P &amp; L Account'!E7-'P &amp; L Account'!E8-'P &amp; L Account'!E10)/'P &amp; L Account'!E4</f>
        <v>0.37507944284087597</v>
      </c>
      <c r="F11" s="36">
        <f>('P &amp; L Account'!F4-'P &amp; L Account'!F7-'P &amp; L Account'!F8-'P &amp; L Account'!F10)/'P &amp; L Account'!F4</f>
        <v>0.37013109098984454</v>
      </c>
      <c r="G11" s="36">
        <f>('P &amp; L Account'!G4-'P &amp; L Account'!G7-'P &amp; L Account'!G8-'P &amp; L Account'!G10)/'P &amp; L Account'!G4</f>
        <v>0.38745425130977956</v>
      </c>
      <c r="H11" s="36">
        <f>('P &amp; L Account'!H4-'P &amp; L Account'!H7-'P &amp; L Account'!H8-'P &amp; L Account'!H10)/'P &amp; L Account'!H4</f>
        <v>0.35565621625578803</v>
      </c>
      <c r="I11" s="36">
        <f>('P &amp; L Account'!I4-'P &amp; L Account'!I7-'P &amp; L Account'!I8-'P &amp; L Account'!I10)/'P &amp; L Account'!I4</f>
        <v>0.41280568303262721</v>
      </c>
      <c r="J11" s="36">
        <f>('P &amp; L Account'!J4-'P &amp; L Account'!J7-'P &amp; L Account'!J8-'P &amp; L Account'!J10)/'P &amp; L Account'!J4</f>
        <v>0.39434365409269267</v>
      </c>
      <c r="K11" s="142">
        <f>('P &amp; L Account'!K4-'P &amp; L Account'!K7-'P &amp; L Account'!K8-'P &amp; L Account'!K10)/'P &amp; L Account'!K4</f>
        <v>0.37713657467006639</v>
      </c>
      <c r="L11" s="8"/>
      <c r="O11" s="262"/>
      <c r="P11" s="263"/>
      <c r="Q11" s="263"/>
      <c r="R11" s="263"/>
      <c r="S11" s="263"/>
      <c r="T11" s="263"/>
      <c r="U11" s="264"/>
    </row>
    <row r="12" spans="1:21" ht="15" customHeight="1">
      <c r="A12" s="140" t="s">
        <v>64</v>
      </c>
      <c r="B12" s="36">
        <f>'P &amp; L Account'!B16/'P &amp; L Account'!B4</f>
        <v>0.1529031796598605</v>
      </c>
      <c r="C12" s="36">
        <f>'P &amp; L Account'!C16/'P &amp; L Account'!C4</f>
        <v>0.12520646531382731</v>
      </c>
      <c r="D12" s="36">
        <f>'P &amp; L Account'!D16/'P &amp; L Account'!D4</f>
        <v>0.1300070710916679</v>
      </c>
      <c r="E12" s="36">
        <f>'P &amp; L Account'!E16/'P &amp; L Account'!E4</f>
        <v>0.12931639435426229</v>
      </c>
      <c r="F12" s="36">
        <f>'P &amp; L Account'!F16/'P &amp; L Account'!F4</f>
        <v>0.13164685269906848</v>
      </c>
      <c r="G12" s="36">
        <f>'P &amp; L Account'!G16/'P &amp; L Account'!G4</f>
        <v>0.15070690660573624</v>
      </c>
      <c r="H12" s="36">
        <f>'P &amp; L Account'!H16/'P &amp; L Account'!H4</f>
        <v>0.12334413148117655</v>
      </c>
      <c r="I12" s="36">
        <f>'P &amp; L Account'!I16/'P &amp; L Account'!I4</f>
        <v>0.18495600918433625</v>
      </c>
      <c r="J12" s="36">
        <f>'P &amp; L Account'!J16/'P &amp; L Account'!J4</f>
        <v>0.17234114188777952</v>
      </c>
      <c r="K12" s="142">
        <f>'P &amp; L Account'!K16/'P &amp; L Account'!K4</f>
        <v>0.15679530410371825</v>
      </c>
      <c r="O12" s="262"/>
      <c r="P12" s="263"/>
      <c r="Q12" s="263"/>
      <c r="R12" s="263"/>
      <c r="S12" s="263"/>
      <c r="T12" s="263"/>
      <c r="U12" s="264"/>
    </row>
    <row r="13" spans="1:21" ht="15" customHeight="1">
      <c r="A13" s="140" t="s">
        <v>65</v>
      </c>
      <c r="B13" s="36">
        <f>'P &amp; L Account'!B19/'P &amp; L Account'!B4</f>
        <v>0.13194570534088212</v>
      </c>
      <c r="C13" s="36">
        <f>'P &amp; L Account'!C19/'P &amp; L Account'!C4</f>
        <v>0.10662458706937238</v>
      </c>
      <c r="D13" s="36">
        <f>'P &amp; L Account'!D19/'P &amp; L Account'!D4</f>
        <v>0.11574833130007084</v>
      </c>
      <c r="E13" s="36">
        <f>'P &amp; L Account'!E19/'P &amp; L Account'!E4</f>
        <v>0.11733707597383698</v>
      </c>
      <c r="F13" s="36">
        <f>'P &amp; L Account'!F19/'P &amp; L Account'!F4</f>
        <v>0.12585933944964137</v>
      </c>
      <c r="G13" s="36">
        <f>'P &amp; L Account'!G19/'P &amp; L Account'!G4</f>
        <v>0.15080447355822116</v>
      </c>
      <c r="H13" s="36">
        <f>'P &amp; L Account'!H19/'P &amp; L Account'!H4</f>
        <v>0.11906696681857291</v>
      </c>
      <c r="I13" s="36">
        <f>'P &amp; L Account'!I19/'P &amp; L Account'!I4</f>
        <v>0.19347876197062083</v>
      </c>
      <c r="J13" s="36">
        <f>'P &amp; L Account'!J19/'P &amp; L Account'!J4</f>
        <v>0.16649443818551465</v>
      </c>
      <c r="K13" s="142">
        <f>'P &amp; L Account'!K19/'P &amp; L Account'!K4</f>
        <v>0.15546331902029009</v>
      </c>
      <c r="O13" s="262"/>
      <c r="P13" s="263"/>
      <c r="Q13" s="263"/>
      <c r="R13" s="263"/>
      <c r="S13" s="263"/>
      <c r="T13" s="263"/>
      <c r="U13" s="264"/>
    </row>
    <row r="14" spans="1:21" ht="15.75" customHeight="1" thickBot="1">
      <c r="A14" s="144" t="s">
        <v>66</v>
      </c>
      <c r="B14" s="145">
        <f>'P &amp; L Account'!B27/'P &amp; L Account'!B4</f>
        <v>7.650110867184956E-2</v>
      </c>
      <c r="C14" s="145">
        <f>'P &amp; L Account'!C27/'P &amp; L Account'!C4</f>
        <v>6.1046315647542683E-2</v>
      </c>
      <c r="D14" s="145">
        <f>'P &amp; L Account'!D27/'P &amp; L Account'!D4</f>
        <v>6.7633826237635447E-2</v>
      </c>
      <c r="E14" s="145">
        <f>'P &amp; L Account'!E27/'P &amp; L Account'!E4</f>
        <v>7.0227471334375083E-2</v>
      </c>
      <c r="F14" s="145">
        <f>'P &amp; L Account'!F27/'P &amp; L Account'!F4</f>
        <v>7.657555783834756E-2</v>
      </c>
      <c r="G14" s="145">
        <f>'P &amp; L Account'!G27/'P &amp; L Account'!G4</f>
        <v>9.2842896785509027E-2</v>
      </c>
      <c r="H14" s="145">
        <f>'P &amp; L Account'!H27/'P &amp; L Account'!H4</f>
        <v>7.2812459964494314E-2</v>
      </c>
      <c r="I14" s="145">
        <f>'P &amp; L Account'!I27/'P &amp; L Account'!I4</f>
        <v>0.12507820755761909</v>
      </c>
      <c r="J14" s="145">
        <f>'P &amp; L Account'!J27/'P &amp; L Account'!J4</f>
        <v>0.10919544695233283</v>
      </c>
      <c r="K14" s="146">
        <f>'P &amp; L Account'!K27/'P &amp; L Account'!K4</f>
        <v>0.10264798219313462</v>
      </c>
      <c r="O14" s="265"/>
      <c r="P14" s="266"/>
      <c r="Q14" s="266"/>
      <c r="R14" s="266"/>
      <c r="S14" s="266"/>
      <c r="T14" s="266"/>
      <c r="U14" s="267"/>
    </row>
    <row r="15" spans="1:21" ht="15.75" customHeight="1" thickBot="1">
      <c r="A15" s="1"/>
      <c r="B15" s="1"/>
      <c r="C15" s="1"/>
      <c r="D15" s="1"/>
      <c r="E15" s="1"/>
      <c r="F15" s="1"/>
      <c r="G15" s="1"/>
      <c r="H15" s="1"/>
      <c r="I15" s="1"/>
      <c r="J15" s="1"/>
      <c r="K15" s="1"/>
    </row>
    <row r="16" spans="1:21" ht="19.5" customHeight="1">
      <c r="A16" s="139" t="s">
        <v>54</v>
      </c>
      <c r="B16" s="99" t="s">
        <v>25</v>
      </c>
      <c r="C16" s="99" t="s">
        <v>24</v>
      </c>
      <c r="D16" s="99" t="s">
        <v>26</v>
      </c>
      <c r="E16" s="99" t="s">
        <v>27</v>
      </c>
      <c r="F16" s="99" t="s">
        <v>28</v>
      </c>
      <c r="G16" s="99" t="s">
        <v>17</v>
      </c>
      <c r="H16" s="99" t="s">
        <v>18</v>
      </c>
      <c r="I16" s="99" t="s">
        <v>19</v>
      </c>
      <c r="J16" s="99" t="s">
        <v>20</v>
      </c>
      <c r="K16" s="100" t="s">
        <v>21</v>
      </c>
      <c r="O16" s="268" t="s">
        <v>265</v>
      </c>
      <c r="P16" s="260"/>
      <c r="Q16" s="260"/>
      <c r="R16" s="260"/>
      <c r="S16" s="260"/>
      <c r="T16" s="260"/>
      <c r="U16" s="261"/>
    </row>
    <row r="17" spans="1:21" ht="15.75" customHeight="1">
      <c r="A17" s="140" t="s">
        <v>67</v>
      </c>
      <c r="B17" s="36">
        <f>'P &amp; L Account'!B27/'Balance Sheet'!B7</f>
        <v>0.29115885580265494</v>
      </c>
      <c r="C17" s="36">
        <f>'P &amp; L Account'!C27/'Balance Sheet'!C7</f>
        <v>0.27362695474805487</v>
      </c>
      <c r="D17" s="36">
        <f>'P &amp; L Account'!D27/'Balance Sheet'!D7</f>
        <v>0.30692196480835077</v>
      </c>
      <c r="E17" s="36">
        <f>'P &amp; L Account'!E27/'Balance Sheet'!E7</f>
        <v>0.32829400386847268</v>
      </c>
      <c r="F17" s="36">
        <f>'P &amp; L Account'!F27/'Balance Sheet'!F7</f>
        <v>0.36131860785044856</v>
      </c>
      <c r="G17" s="36">
        <f>'P &amp; L Account'!G27/'Balance Sheet'!G7</f>
        <v>0.41652330588271114</v>
      </c>
      <c r="H17" s="36">
        <f>'P &amp; L Account'!H27/'Balance Sheet'!H7</f>
        <v>0.33065984025532591</v>
      </c>
      <c r="I17" s="36">
        <f>'P &amp; L Account'!I27/'Balance Sheet'!I7</f>
        <v>0.48868407817635268</v>
      </c>
      <c r="J17" s="36">
        <f>'P &amp; L Account'!J27/'Balance Sheet'!J7</f>
        <v>0.38549524096881244</v>
      </c>
      <c r="K17" s="142">
        <f>'P &amp; L Account'!K27/'Balance Sheet'!K7</f>
        <v>0.35973440058213535</v>
      </c>
      <c r="O17" s="262"/>
      <c r="P17" s="263"/>
      <c r="Q17" s="263"/>
      <c r="R17" s="263"/>
      <c r="S17" s="263"/>
      <c r="T17" s="263"/>
      <c r="U17" s="264"/>
    </row>
    <row r="18" spans="1:21" ht="15.75" customHeight="1">
      <c r="A18" s="140" t="s">
        <v>68</v>
      </c>
      <c r="B18" s="36">
        <f>('P &amp; L Account'!B19*(1-Ratios!B6))/('Balance Sheet'!B22+'Balance Sheet'!B23+'Balance Sheet'!B27-'Balance Sheet'!B14)</f>
        <v>0.59871537964874222</v>
      </c>
      <c r="C18" s="36">
        <f>('P &amp; L Account'!C19*(1-Ratios!C6))/('Balance Sheet'!C22+'Balance Sheet'!C23+'Balance Sheet'!C27-'Balance Sheet'!C14)</f>
        <v>0.70117630206273218</v>
      </c>
      <c r="D18" s="36">
        <f>('P &amp; L Account'!D19*(1-Ratios!D6))/('Balance Sheet'!D22+'Balance Sheet'!D23+'Balance Sheet'!D27-'Balance Sheet'!D14)</f>
        <v>0.51868607503957842</v>
      </c>
      <c r="E18" s="36">
        <f>('P &amp; L Account'!E19*(1-Ratios!E6))/('Balance Sheet'!E22+'Balance Sheet'!E23+'Balance Sheet'!E27-'Balance Sheet'!E14)</f>
        <v>0.48525999950516202</v>
      </c>
      <c r="F18" s="36">
        <f>('P &amp; L Account'!F19*(1-Ratios!F6))/('Balance Sheet'!F22+'Balance Sheet'!F23+'Balance Sheet'!F27-'Balance Sheet'!F14)</f>
        <v>0.65790612999152343</v>
      </c>
      <c r="G18" s="36">
        <f>('P &amp; L Account'!G19*(1-Ratios!G6))/('Balance Sheet'!G22+'Balance Sheet'!G23+'Balance Sheet'!G27-'Balance Sheet'!G14)</f>
        <v>0.93143084698924417</v>
      </c>
      <c r="H18" s="36">
        <f>('P &amp; L Account'!H19*(1-Ratios!H6))/('Balance Sheet'!H22+'Balance Sheet'!H23+'Balance Sheet'!H27-'Balance Sheet'!H14)</f>
        <v>0.89584944687553969</v>
      </c>
      <c r="I18" s="36">
        <f>('P &amp; L Account'!I19*(1-Ratios!I6))/('Balance Sheet'!I22+'Balance Sheet'!I23+'Balance Sheet'!I27-'Balance Sheet'!I14)</f>
        <v>1.5035337390215129</v>
      </c>
      <c r="J18" s="36">
        <f>('P &amp; L Account'!J19*(1-Ratios!J6))/('Balance Sheet'!J22+'Balance Sheet'!J23+'Balance Sheet'!J27-'Balance Sheet'!J14)</f>
        <v>0.86448885676996323</v>
      </c>
      <c r="K18" s="142">
        <f>('P &amp; L Account'!K19*(1-Ratios!K6))/('Balance Sheet'!K22+'Balance Sheet'!K23+'Balance Sheet'!K24+'Balance Sheet'!K27-'Balance Sheet'!K14)</f>
        <v>1.2375237068653915</v>
      </c>
      <c r="O18" s="262"/>
      <c r="P18" s="263"/>
      <c r="Q18" s="263"/>
      <c r="R18" s="263"/>
      <c r="S18" s="263"/>
      <c r="T18" s="263"/>
      <c r="U18" s="264"/>
    </row>
    <row r="19" spans="1:21" ht="15.75" customHeight="1">
      <c r="A19" s="140" t="s">
        <v>69</v>
      </c>
      <c r="B19" s="36">
        <f>('P &amp; L Account'!B19*(1-Ratios!B6))/('Balance Sheet'!B7+'Balance Sheet'!B12+'Balance Sheet'!B15-'Balance Sheet'!B28-'Balance Sheet'!B31)</f>
        <v>0.24467906619200958</v>
      </c>
      <c r="C19" s="36">
        <f>('P &amp; L Account'!C19*(1-Ratios!C6))/('Balance Sheet'!C7+'Balance Sheet'!C12+'Balance Sheet'!C15-'Balance Sheet'!C28-'Balance Sheet'!C31)</f>
        <v>0.2477725801623871</v>
      </c>
      <c r="D19" s="36">
        <f>('P &amp; L Account'!D19*(1-Ratios!D6))/('Balance Sheet'!D7+'Balance Sheet'!D12+'Balance Sheet'!D15-'Balance Sheet'!D28-'Balance Sheet'!D31)</f>
        <v>0.26139573248492659</v>
      </c>
      <c r="E19" s="36">
        <f>('P &amp; L Account'!E19*(1-Ratios!E6))/('Balance Sheet'!E7+'Balance Sheet'!E12+'Balance Sheet'!E15-'Balance Sheet'!E28-'Balance Sheet'!E31)</f>
        <v>0.28676313315941693</v>
      </c>
      <c r="F19" s="36">
        <f>('P &amp; L Account'!F19*(1-Ratios!F6))/('Balance Sheet'!F7+'Balance Sheet'!F12+'Balance Sheet'!F15-'Balance Sheet'!F28-'Balance Sheet'!F31)</f>
        <v>0.35219336269570184</v>
      </c>
      <c r="G19" s="36">
        <f>('P &amp; L Account'!G19*(1-Ratios!G6))/('Balance Sheet'!G7+'Balance Sheet'!G12+'Balance Sheet'!G15-'Balance Sheet'!G28-'Balance Sheet'!G31)</f>
        <v>0.47492737962362841</v>
      </c>
      <c r="H19" s="36">
        <f>('P &amp; L Account'!H19*(1-Ratios!H6))/('Balance Sheet'!H7+'Balance Sheet'!H12+'Balance Sheet'!H15-'Balance Sheet'!H28-'Balance Sheet'!H31)</f>
        <v>0.33993365623498722</v>
      </c>
      <c r="I19" s="36">
        <f>('P &amp; L Account'!I19*(1-Ratios!I6))/('Balance Sheet'!I7+'Balance Sheet'!I12+'Balance Sheet'!I15-'Balance Sheet'!I28-'Balance Sheet'!I31)</f>
        <v>0.69825247016638536</v>
      </c>
      <c r="J19" s="36">
        <f>('P &amp; L Account'!J19*(1-Ratios!J6))/('Balance Sheet'!J7+'Balance Sheet'!J12+'Balance Sheet'!J15-'Balance Sheet'!J28-'Balance Sheet'!J31)</f>
        <v>0.67023295280870598</v>
      </c>
      <c r="K19" s="142">
        <f>('P &amp; L Account'!K19*(1-Ratios!K6))/('Balance Sheet'!K7+'Balance Sheet'!K12+'Balance Sheet'!K15-'Balance Sheet'!K28-'Balance Sheet'!K31)</f>
        <v>0.52899441620869669</v>
      </c>
      <c r="O19" s="262"/>
      <c r="P19" s="263"/>
      <c r="Q19" s="263"/>
      <c r="R19" s="263"/>
      <c r="S19" s="263"/>
      <c r="T19" s="263"/>
      <c r="U19" s="264"/>
    </row>
    <row r="20" spans="1:21" ht="16.5" customHeight="1" thickBot="1">
      <c r="A20" s="144" t="s">
        <v>70</v>
      </c>
      <c r="B20" s="147">
        <f>'P &amp; L Account'!B4/('Balance Sheet'!B27-'Balance Sheet'!B14)</f>
        <v>8.1560312331717864</v>
      </c>
      <c r="C20" s="147">
        <f>'P &amp; L Account'!C4/('Balance Sheet'!C27-'Balance Sheet'!C14)</f>
        <v>12.445749646022337</v>
      </c>
      <c r="D20" s="147">
        <f>'P &amp; L Account'!D4/('Balance Sheet'!D27-'Balance Sheet'!D14)</f>
        <v>7.7516564269365151</v>
      </c>
      <c r="E20" s="147">
        <f>'P &amp; L Account'!E4/('Balance Sheet'!E27-'Balance Sheet'!E14)</f>
        <v>7.2705044281863715</v>
      </c>
      <c r="F20" s="147">
        <f>'P &amp; L Account'!F4/('Balance Sheet'!F27-'Balance Sheet'!F14)</f>
        <v>8.61293123679887</v>
      </c>
      <c r="G20" s="147">
        <f>'P &amp; L Account'!G4/('Balance Sheet'!G27-'Balance Sheet'!G14)</f>
        <v>9.9380566892912743</v>
      </c>
      <c r="H20" s="147">
        <f>'P &amp; L Account'!H4/('Balance Sheet'!H27-'Balance Sheet'!H14)</f>
        <v>12.154424522845575</v>
      </c>
      <c r="I20" s="147">
        <f>'P &amp; L Account'!I4/('Balance Sheet'!I27-'Balance Sheet'!I14)</f>
        <v>12.01997049404484</v>
      </c>
      <c r="J20" s="147">
        <f>'P &amp; L Account'!J4/('Balance Sheet'!J27-'Balance Sheet'!J14)</f>
        <v>7.8244878108091678</v>
      </c>
      <c r="K20" s="148">
        <f>'P &amp; L Account'!K4/('Balance Sheet'!K27-'Balance Sheet'!K14)</f>
        <v>12.202749097358595</v>
      </c>
      <c r="O20" s="265"/>
      <c r="P20" s="266"/>
      <c r="Q20" s="266"/>
      <c r="R20" s="266"/>
      <c r="S20" s="266"/>
      <c r="T20" s="266"/>
      <c r="U20" s="267"/>
    </row>
    <row r="21" spans="1:21" ht="15.75" thickBot="1">
      <c r="A21" s="1"/>
      <c r="B21" s="1"/>
      <c r="C21" s="1"/>
      <c r="D21" s="1"/>
      <c r="E21" s="1"/>
      <c r="F21" s="1"/>
      <c r="G21" s="1"/>
      <c r="H21" s="1"/>
      <c r="I21" s="1"/>
      <c r="J21" s="1"/>
      <c r="K21" s="1"/>
    </row>
    <row r="22" spans="1:21" ht="15.75">
      <c r="A22" s="139" t="s">
        <v>55</v>
      </c>
      <c r="B22" s="99" t="s">
        <v>25</v>
      </c>
      <c r="C22" s="99" t="s">
        <v>24</v>
      </c>
      <c r="D22" s="99" t="s">
        <v>26</v>
      </c>
      <c r="E22" s="99" t="s">
        <v>27</v>
      </c>
      <c r="F22" s="99" t="s">
        <v>28</v>
      </c>
      <c r="G22" s="99" t="s">
        <v>17</v>
      </c>
      <c r="H22" s="99" t="s">
        <v>18</v>
      </c>
      <c r="I22" s="99" t="s">
        <v>19</v>
      </c>
      <c r="J22" s="99" t="s">
        <v>20</v>
      </c>
      <c r="K22" s="100" t="s">
        <v>21</v>
      </c>
    </row>
    <row r="23" spans="1:21" ht="15" customHeight="1">
      <c r="A23" s="140" t="s">
        <v>71</v>
      </c>
      <c r="B23" s="30">
        <f>'Balance Sheet'!B30/('P &amp; L Account'!B4/365)</f>
        <v>51.331231533598533</v>
      </c>
      <c r="C23" s="30">
        <f>'Balance Sheet'!C30/('P &amp; L Account'!C4/365)</f>
        <v>40.752755679902918</v>
      </c>
      <c r="D23" s="30">
        <f>'Balance Sheet'!D30/('P &amp; L Account'!D4/365)</f>
        <v>41.957429697030918</v>
      </c>
      <c r="E23" s="30">
        <f>'Balance Sheet'!E30/('P &amp; L Account'!E4/365)</f>
        <v>41.987130259778091</v>
      </c>
      <c r="F23" s="30">
        <f>'Balance Sheet'!F30/('P &amp; L Account'!F4/365)</f>
        <v>41.832126693133738</v>
      </c>
      <c r="G23" s="30">
        <f>'Balance Sheet'!G30/('P &amp; L Account'!G4/365)</f>
        <v>38.123821538698913</v>
      </c>
      <c r="H23" s="30">
        <f>'Balance Sheet'!H30/('P &amp; L Account'!H4/365)</f>
        <v>38.205457640147145</v>
      </c>
      <c r="I23" s="30">
        <f>'Balance Sheet'!I30/('P &amp; L Account'!I4/365)</f>
        <v>29.639511805225013</v>
      </c>
      <c r="J23" s="30">
        <f>'Balance Sheet'!J30/('P &amp; L Account'!J4/365)</f>
        <v>27.087978969995987</v>
      </c>
      <c r="K23" s="149">
        <f>'Balance Sheet'!K30/('P &amp; L Account'!K4/365)</f>
        <v>29.604354750296917</v>
      </c>
    </row>
    <row r="24" spans="1:21" ht="15" customHeight="1">
      <c r="A24" s="140" t="s">
        <v>16</v>
      </c>
      <c r="B24" s="30">
        <f>'Balance Sheet'!B29/('P &amp; L Account'!B4/365)</f>
        <v>64.70426247187055</v>
      </c>
      <c r="C24" s="30">
        <f>'Balance Sheet'!C29/('P &amp; L Account'!C4/365)</f>
        <v>48.936219072338702</v>
      </c>
      <c r="D24" s="30">
        <f>'Balance Sheet'!D29/('P &amp; L Account'!D4/365)</f>
        <v>64.458478705135477</v>
      </c>
      <c r="E24" s="30">
        <f>'Balance Sheet'!E29/('P &amp; L Account'!E4/365)</f>
        <v>59.064941212297754</v>
      </c>
      <c r="F24" s="30">
        <f>'Balance Sheet'!F29/('P &amp; L Account'!F4/365)</f>
        <v>59.475595168352882</v>
      </c>
      <c r="G24" s="30">
        <f>'Balance Sheet'!G29/('P &amp; L Account'!G4/365)</f>
        <v>59.133208387127517</v>
      </c>
      <c r="H24" s="30">
        <f>'Balance Sheet'!H29/('P &amp; L Account'!H4/365)</f>
        <v>51.367475612657628</v>
      </c>
      <c r="I24" s="30">
        <f>'Balance Sheet'!I29/('P &amp; L Account'!I4/365)</f>
        <v>52.222621367651861</v>
      </c>
      <c r="J24" s="30">
        <f>'Balance Sheet'!J29/('P &amp; L Account'!J4/365)</f>
        <v>61.702077101381718</v>
      </c>
      <c r="K24" s="149">
        <f>'Balance Sheet'!K29/('P &amp; L Account'!K4/365)</f>
        <v>60.587656661378873</v>
      </c>
    </row>
    <row r="25" spans="1:21" ht="15.75" customHeight="1" thickBot="1">
      <c r="A25" s="144" t="s">
        <v>72</v>
      </c>
      <c r="B25" s="150">
        <f>'Balance Sheet'!B16/('P &amp; L Account'!B4/365)</f>
        <v>46.633901699596699</v>
      </c>
      <c r="C25" s="150">
        <f>'Balance Sheet'!C16/('P &amp; L Account'!C4/365)</f>
        <v>41.898532832198477</v>
      </c>
      <c r="D25" s="150">
        <f>'Balance Sheet'!D16/('P &amp; L Account'!D4/365)</f>
        <v>41.764567614400157</v>
      </c>
      <c r="E25" s="150">
        <f>'Balance Sheet'!E16/('P &amp; L Account'!E4/365)</f>
        <v>39.825672616052749</v>
      </c>
      <c r="F25" s="150">
        <f>'Balance Sheet'!F16/('P &amp; L Account'!F4/365)</f>
        <v>44.608934132976565</v>
      </c>
      <c r="G25" s="150">
        <f>'Balance Sheet'!G16/('P &amp; L Account'!G4/365)</f>
        <v>47.368846191371908</v>
      </c>
      <c r="H25" s="150">
        <f>'Balance Sheet'!H16/('P &amp; L Account'!H4/365)</f>
        <v>37.018384304251541</v>
      </c>
      <c r="I25" s="150">
        <f>'Balance Sheet'!I16/('P &amp; L Account'!I4/365)</f>
        <v>39.243998598999546</v>
      </c>
      <c r="J25" s="150">
        <f>'Balance Sheet'!J16/('P &amp; L Account'!J4/365)</f>
        <v>51.398624762052762</v>
      </c>
      <c r="K25" s="151">
        <f>'Balance Sheet'!K16/('P &amp; L Account'!K4/365)</f>
        <v>49.141523674659268</v>
      </c>
    </row>
    <row r="26" spans="1:21" ht="15.75" customHeight="1" thickBot="1">
      <c r="A26" s="1"/>
      <c r="B26" s="1"/>
      <c r="C26" s="1"/>
      <c r="D26" s="1"/>
      <c r="E26" s="1"/>
      <c r="F26" s="1"/>
      <c r="G26" s="1"/>
      <c r="H26" s="1"/>
      <c r="I26" s="1"/>
      <c r="J26" s="1"/>
      <c r="K26" s="1"/>
    </row>
    <row r="27" spans="1:21" ht="15.75">
      <c r="A27" s="139" t="s">
        <v>210</v>
      </c>
      <c r="B27" s="99" t="s">
        <v>25</v>
      </c>
      <c r="C27" s="99" t="s">
        <v>24</v>
      </c>
      <c r="D27" s="99" t="s">
        <v>26</v>
      </c>
      <c r="E27" s="99" t="s">
        <v>27</v>
      </c>
      <c r="F27" s="99" t="s">
        <v>28</v>
      </c>
      <c r="G27" s="99" t="s">
        <v>17</v>
      </c>
      <c r="H27" s="99" t="s">
        <v>18</v>
      </c>
      <c r="I27" s="99" t="s">
        <v>19</v>
      </c>
      <c r="J27" s="99" t="s">
        <v>20</v>
      </c>
      <c r="K27" s="100" t="s">
        <v>21</v>
      </c>
    </row>
    <row r="28" spans="1:21" ht="15.75" customHeight="1">
      <c r="A28" s="140" t="s">
        <v>73</v>
      </c>
      <c r="B28" s="36"/>
      <c r="C28" s="36">
        <f>'P &amp; L Account'!C4/'P &amp; L Account'!B4-1</f>
        <v>0.30580085722617456</v>
      </c>
      <c r="D28" s="36">
        <f>'P &amp; L Account'!D4/'P &amp; L Account'!C4-1</f>
        <v>8.4515944178520819E-2</v>
      </c>
      <c r="E28" s="36">
        <f>'P &amp; L Account'!E4/'P &amp; L Account'!D4-1</f>
        <v>0.17373905340616802</v>
      </c>
      <c r="F28" s="36">
        <f>'P &amp; L Account'!F4/'P &amp; L Account'!E4-1</f>
        <v>0.21480351137356668</v>
      </c>
      <c r="G28" s="36">
        <f>'P &amp; L Account'!G4/'P &amp; L Account'!F4-1</f>
        <v>0.20088992553072638</v>
      </c>
      <c r="H28" s="36">
        <f>'P &amp; L Account'!H4/'P &amp; L Account'!G4-1</f>
        <v>0.23975830623770489</v>
      </c>
      <c r="I28" s="36">
        <f>'P &amp; L Account'!I4/'P &amp; L Account'!H4-1</f>
        <v>0.22274199747433143</v>
      </c>
      <c r="J28" s="36">
        <f>'P &amp; L Account'!J4/'P &amp; L Account'!I4-1</f>
        <v>0.15587028172682293</v>
      </c>
      <c r="K28" s="142">
        <f>'P &amp; L Account'!K4/'P &amp; L Account'!J4-1</f>
        <v>0.24732786864017187</v>
      </c>
    </row>
    <row r="29" spans="1:21">
      <c r="A29" s="140" t="s">
        <v>74</v>
      </c>
      <c r="B29" s="36"/>
      <c r="C29" s="36">
        <f>'P &amp; L Account'!C16/'P &amp; L Account'!B16-1</f>
        <v>6.9269521410580293E-2</v>
      </c>
      <c r="D29" s="36">
        <f>'P &amp; L Account'!D16/'P &amp; L Account'!C16-1</f>
        <v>0.12609793033821393</v>
      </c>
      <c r="E29" s="36">
        <f>'P &amp; L Account'!E16/'P &amp; L Account'!D16-1</f>
        <v>0.16750343673420631</v>
      </c>
      <c r="F29" s="36">
        <f>'P &amp; L Account'!F16/'P &amp; L Account'!E16-1</f>
        <v>0.23669593262856026</v>
      </c>
      <c r="G29" s="36">
        <f>'P &amp; L Account'!G16/'P &amp; L Account'!F16-1</f>
        <v>0.37475679927142957</v>
      </c>
      <c r="H29" s="36">
        <f>'P &amp; L Account'!H16/'P &amp; L Account'!G16-1</f>
        <v>1.4664257753691068E-2</v>
      </c>
      <c r="I29" s="36">
        <f>'P &amp; L Account'!I16/'P &amp; L Account'!H16-1</f>
        <v>0.83351633676588199</v>
      </c>
      <c r="J29" s="36">
        <f>'P &amp; L Account'!J16/'P &amp; L Account'!I16-1</f>
        <v>7.7034507315810297E-2</v>
      </c>
      <c r="K29" s="142">
        <f>'P &amp; L Account'!K16/'P &amp; L Account'!J16-1</f>
        <v>0.13481406899246307</v>
      </c>
    </row>
    <row r="30" spans="1:21">
      <c r="A30" s="140" t="s">
        <v>99</v>
      </c>
      <c r="B30" s="36"/>
      <c r="C30" s="36">
        <f>'P &amp; L Account'!C19/'P &amp; L Account'!B19-1</f>
        <v>5.5210374880114488E-2</v>
      </c>
      <c r="D30" s="36">
        <f>'P &amp; L Account'!D19/'P &amp; L Account'!C19-1</f>
        <v>0.17731673582296081</v>
      </c>
      <c r="E30" s="36">
        <f>'P &amp; L Account'!E19/'P &amp; L Account'!D19-1</f>
        <v>0.1898496240601506</v>
      </c>
      <c r="F30" s="36">
        <f>'P &amp; L Account'!F19/'P &amp; L Account'!E19-1</f>
        <v>0.30303543218235074</v>
      </c>
      <c r="G30" s="36">
        <f>'P &amp; L Account'!G19/'P &amp; L Account'!F19-1</f>
        <v>0.43890452478891206</v>
      </c>
      <c r="H30" s="36">
        <f>'P &amp; L Account'!H19/'P &amp; L Account'!G19-1</f>
        <v>-2.115462738666396E-2</v>
      </c>
      <c r="I30" s="36">
        <f>'P &amp; L Account'!I19/'P &amp; L Account'!H19-1</f>
        <v>0.9869037920592687</v>
      </c>
      <c r="J30" s="36">
        <f>'P &amp; L Account'!J19/'P &amp; L Account'!I19-1</f>
        <v>-5.3379956986582267E-3</v>
      </c>
      <c r="K30" s="142">
        <f>'P &amp; L Account'!K19/'P &amp; L Account'!J19-1</f>
        <v>0.16468593472917847</v>
      </c>
    </row>
    <row r="31" spans="1:21" ht="15.75" thickBot="1">
      <c r="A31" s="144" t="s">
        <v>75</v>
      </c>
      <c r="B31" s="145"/>
      <c r="C31" s="145">
        <f>'P &amp; L Account'!C27/'P &amp; L Account'!B27-1</f>
        <v>4.2002301495974281E-2</v>
      </c>
      <c r="D31" s="145">
        <f>'P &amp; L Account'!D27/'P &amp; L Account'!C27-1</f>
        <v>0.20154610712313814</v>
      </c>
      <c r="E31" s="145">
        <f>'P &amp; L Account'!E27/'P &amp; L Account'!D27-1</f>
        <v>0.21875</v>
      </c>
      <c r="F31" s="145">
        <f>'P &amp; L Account'!F27/'P &amp; L Account'!E27-1</f>
        <v>0.32461349924585092</v>
      </c>
      <c r="G31" s="145">
        <f>'P &amp; L Account'!G27/'P &amp; L Account'!F27-1</f>
        <v>0.45600113866846392</v>
      </c>
      <c r="H31" s="145">
        <f>'P &amp; L Account'!H27/'P &amp; L Account'!G27-1</f>
        <v>-2.7713964514390899E-2</v>
      </c>
      <c r="I31" s="145">
        <f>'P &amp; L Account'!I27/'P &amp; L Account'!H27-1</f>
        <v>1.1004423889000567</v>
      </c>
      <c r="J31" s="145">
        <f>'P &amp; L Account'!J27/'P &amp; L Account'!I27-1</f>
        <v>9.0948255229528208E-3</v>
      </c>
      <c r="K31" s="146">
        <f>'P &amp; L Account'!K27/'P &amp; L Account'!J27-1</f>
        <v>0.17253688155210756</v>
      </c>
    </row>
    <row r="32" spans="1:21" ht="15.75" thickBot="1">
      <c r="A32" s="1"/>
      <c r="B32" s="1"/>
      <c r="C32" s="1"/>
      <c r="D32" s="1"/>
      <c r="E32" s="1"/>
      <c r="F32" s="1"/>
      <c r="G32" s="1"/>
      <c r="H32" s="1"/>
      <c r="I32" s="1"/>
      <c r="J32" s="1"/>
      <c r="K32" s="1"/>
    </row>
    <row r="33" spans="1:11" ht="15.75">
      <c r="A33" s="139" t="s">
        <v>56</v>
      </c>
      <c r="B33" s="99" t="s">
        <v>25</v>
      </c>
      <c r="C33" s="99" t="s">
        <v>24</v>
      </c>
      <c r="D33" s="99" t="s">
        <v>26</v>
      </c>
      <c r="E33" s="99" t="s">
        <v>27</v>
      </c>
      <c r="F33" s="99" t="s">
        <v>28</v>
      </c>
      <c r="G33" s="99" t="s">
        <v>17</v>
      </c>
      <c r="H33" s="99" t="s">
        <v>18</v>
      </c>
      <c r="I33" s="99" t="s">
        <v>19</v>
      </c>
      <c r="J33" s="99" t="s">
        <v>20</v>
      </c>
      <c r="K33" s="100" t="s">
        <v>21</v>
      </c>
    </row>
    <row r="34" spans="1:11">
      <c r="A34" s="140" t="s">
        <v>58</v>
      </c>
      <c r="B34" s="29">
        <f>('Balance Sheet'!B15+'Balance Sheet'!B12)/'Balance Sheet'!B7</f>
        <v>0.41240524353980818</v>
      </c>
      <c r="C34" s="29">
        <f>('Balance Sheet'!C15+'Balance Sheet'!C12)/'Balance Sheet'!C7</f>
        <v>0.31978544987534935</v>
      </c>
      <c r="D34" s="29">
        <f>('Balance Sheet'!D15+'Balance Sheet'!D12)/'Balance Sheet'!D7</f>
        <v>0.42226453683134108</v>
      </c>
      <c r="E34" s="29">
        <f>('Balance Sheet'!E15+'Balance Sheet'!E12)/'Balance Sheet'!E7</f>
        <v>0.40430174081237907</v>
      </c>
      <c r="F34" s="29">
        <f>('Balance Sheet'!F15+'Balance Sheet'!F12)/'Balance Sheet'!F7</f>
        <v>0.39364095707067465</v>
      </c>
      <c r="G34" s="29">
        <f>('Balance Sheet'!G15+'Balance Sheet'!G12)/'Balance Sheet'!G7</f>
        <v>0.28014902735221964</v>
      </c>
      <c r="H34" s="29">
        <f>('Balance Sheet'!H15+'Balance Sheet'!H12)/'Balance Sheet'!H7</f>
        <v>0.25650573069474802</v>
      </c>
      <c r="I34" s="29">
        <f>('Balance Sheet'!I15+'Balance Sheet'!I12)/'Balance Sheet'!I7</f>
        <v>0.13405419946432121</v>
      </c>
      <c r="J34" s="29">
        <f>('Balance Sheet'!J15+'Balance Sheet'!J12)/'Balance Sheet'!J7</f>
        <v>6.7399036307613541E-2</v>
      </c>
      <c r="K34" s="141">
        <f>('Balance Sheet'!K15+'Balance Sheet'!K12)/'Balance Sheet'!K7</f>
        <v>5.3727487720574854E-2</v>
      </c>
    </row>
    <row r="35" spans="1:11">
      <c r="A35" s="140" t="s">
        <v>101</v>
      </c>
      <c r="B35" s="29">
        <f>'Balance Sheet'!B12/'Cash Flow'!B6</f>
        <v>1.7324067558057707</v>
      </c>
      <c r="C35" s="29">
        <f>'Balance Sheet'!C12/'Cash Flow'!C6</f>
        <v>0.78322498655848272</v>
      </c>
      <c r="D35" s="29">
        <f>'Balance Sheet'!D12/'Cash Flow'!D6</f>
        <v>16.713189113747386</v>
      </c>
      <c r="E35" s="29">
        <f>'Balance Sheet'!E12/'Cash Flow'!E6</f>
        <v>2.8412353197042188</v>
      </c>
      <c r="F35" s="29">
        <f>'Balance Sheet'!F12/'Cash Flow'!F6</f>
        <v>1.0225593817479259</v>
      </c>
      <c r="G35" s="29">
        <f>'Balance Sheet'!G12/'Cash Flow'!G6</f>
        <v>1.0433719508645281</v>
      </c>
      <c r="H35" s="29">
        <f>'Balance Sheet'!H12/'Cash Flow'!H6</f>
        <v>1.9102709514807823</v>
      </c>
      <c r="I35" s="29">
        <f>'Balance Sheet'!I12/'Cash Flow'!I6</f>
        <v>0.15633750093583884</v>
      </c>
      <c r="J35" s="29">
        <f>'Balance Sheet'!J12/'Cash Flow'!J6</f>
        <v>0.24313938914176397</v>
      </c>
      <c r="K35" s="141">
        <f>'Balance Sheet'!K12/'Cash Flow'!K6</f>
        <v>0.96384048038639747</v>
      </c>
    </row>
    <row r="36" spans="1:11">
      <c r="A36" s="140" t="s">
        <v>59</v>
      </c>
      <c r="B36" s="29">
        <f>'Balance Sheet'!B27/'Balance Sheet'!B14</f>
        <v>1.4337011735855665</v>
      </c>
      <c r="C36" s="29">
        <f>'Balance Sheet'!C27/'Balance Sheet'!C14</f>
        <v>1.3281422081497798</v>
      </c>
      <c r="D36" s="29">
        <f>'Balance Sheet'!D27/'Balance Sheet'!D14</f>
        <v>1.53745548721269</v>
      </c>
      <c r="E36" s="29">
        <f>'Balance Sheet'!E27/'Balance Sheet'!E14</f>
        <v>1.589733036233838</v>
      </c>
      <c r="F36" s="29">
        <f>'Balance Sheet'!F27/'Balance Sheet'!F14</f>
        <v>1.4350356318787905</v>
      </c>
      <c r="G36" s="29">
        <f>'Balance Sheet'!G27/'Balance Sheet'!G14</f>
        <v>1.3552534606511148</v>
      </c>
      <c r="H36" s="29">
        <f>'Balance Sheet'!H27/'Balance Sheet'!H14</f>
        <v>1.1786220899507691</v>
      </c>
      <c r="I36" s="29">
        <f>'Balance Sheet'!I27/'Balance Sheet'!I14</f>
        <v>1.1676808205747038</v>
      </c>
      <c r="J36" s="29">
        <f>'Balance Sheet'!J27/'Balance Sheet'!J14</f>
        <v>1.4743398729249373</v>
      </c>
      <c r="K36" s="141">
        <f>'Balance Sheet'!K27/'Balance Sheet'!K14</f>
        <v>1.2849104139295149</v>
      </c>
    </row>
    <row r="37" spans="1:11">
      <c r="A37" s="140" t="s">
        <v>60</v>
      </c>
      <c r="B37" s="29">
        <f>('Balance Sheet'!B27-'Balance Sheet'!B29)/'Balance Sheet'!B14</f>
        <v>0.80664058698740759</v>
      </c>
      <c r="C37" s="29">
        <f>('Balance Sheet'!C27-'Balance Sheet'!C29)/'Balance Sheet'!C14</f>
        <v>0.78059609030837018</v>
      </c>
      <c r="D37" s="29">
        <f>('Balance Sheet'!D27-'Balance Sheet'!D29)/'Balance Sheet'!D14</f>
        <v>0.80171576561994162</v>
      </c>
      <c r="E37" s="29">
        <f>('Balance Sheet'!E27-'Balance Sheet'!E29)/'Balance Sheet'!E14</f>
        <v>0.8958969045828068</v>
      </c>
      <c r="F37" s="29">
        <f>('Balance Sheet'!F27-'Balance Sheet'!F29)/'Balance Sheet'!F14</f>
        <v>0.82448492026218545</v>
      </c>
      <c r="G37" s="29">
        <f>('Balance Sheet'!G27-'Balance Sheet'!G29)/'Balance Sheet'!G14</f>
        <v>0.78327672391694425</v>
      </c>
      <c r="H37" s="29">
        <f>('Balance Sheet'!H27-'Balance Sheet'!H29)/'Balance Sheet'!H14</f>
        <v>0.87308430450866414</v>
      </c>
      <c r="I37" s="29">
        <f>('Balance Sheet'!I27-'Balance Sheet'!I29)/'Balance Sheet'!I14</f>
        <v>0.87930914850290354</v>
      </c>
      <c r="J37" s="29">
        <f>('Balance Sheet'!J27-'Balance Sheet'!J29)/'Balance Sheet'!J14</f>
        <v>0.84692837849528513</v>
      </c>
      <c r="K37" s="141">
        <f>('Balance Sheet'!K27-'Balance Sheet'!K29)/'Balance Sheet'!K14</f>
        <v>0.70780214544562003</v>
      </c>
    </row>
    <row r="38" spans="1:11" ht="15.75" thickBot="1">
      <c r="A38" s="144" t="s">
        <v>61</v>
      </c>
      <c r="B38" s="147">
        <f>'P &amp; L Account'!B19/'P &amp; L Account'!B20</f>
        <v>17.466132556445725</v>
      </c>
      <c r="C38" s="147">
        <f>'P &amp; L Account'!C19/'P &amp; L Account'!C20</f>
        <v>16.64802631578948</v>
      </c>
      <c r="D38" s="147">
        <f>'P &amp; L Account'!D19/'P &amp; L Account'!D20</f>
        <v>27.534195933456594</v>
      </c>
      <c r="E38" s="147">
        <f>'P &amp; L Account'!E19/'P &amp; L Account'!E20</f>
        <v>31.013123359580096</v>
      </c>
      <c r="F38" s="147">
        <f>'P &amp; L Account'!F19/'P &amp; L Account'!F20</f>
        <v>19.253855773238865</v>
      </c>
      <c r="G38" s="147">
        <f>'P &amp; L Account'!G19/'P &amp; L Account'!G20</f>
        <v>25.204019719378042</v>
      </c>
      <c r="H38" s="147">
        <f>'P &amp; L Account'!H19/'P &amp; L Account'!H20</f>
        <v>20.042205791743701</v>
      </c>
      <c r="I38" s="147">
        <f>'P &amp; L Account'!I19/'P &amp; L Account'!I20</f>
        <v>35.173333333333318</v>
      </c>
      <c r="J38" s="147">
        <f>'P &amp; L Account'!J19/'P &amp; L Account'!J20</f>
        <v>49.488837567359496</v>
      </c>
      <c r="K38" s="148">
        <f>'P &amp; L Account'!K19/'P &amp; L Account'!K20</f>
        <v>34.519594283079741</v>
      </c>
    </row>
  </sheetData>
  <mergeCells count="5">
    <mergeCell ref="O3:U8"/>
    <mergeCell ref="O10:U14"/>
    <mergeCell ref="O16:U20"/>
    <mergeCell ref="A1:K1"/>
    <mergeCell ref="A2:K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dimension ref="A1:K38"/>
  <sheetViews>
    <sheetView workbookViewId="0">
      <selection activeCell="D17" sqref="D17"/>
    </sheetView>
  </sheetViews>
  <sheetFormatPr defaultRowHeight="15"/>
  <cols>
    <col min="1" max="1" width="30.140625" style="3" bestFit="1" customWidth="1"/>
    <col min="2" max="2" width="9.7109375" style="3" bestFit="1" customWidth="1"/>
    <col min="3" max="3" width="15.7109375" style="3" customWidth="1"/>
    <col min="4" max="4" width="16.5703125" style="3" bestFit="1" customWidth="1"/>
    <col min="5" max="5" width="5.85546875" style="3" bestFit="1" customWidth="1"/>
    <col min="6" max="6" width="9.140625" style="3"/>
    <col min="7" max="7" width="14.5703125" style="3" customWidth="1"/>
    <col min="8" max="243" width="9.140625" style="3"/>
    <col min="244" max="244" width="28.5703125" style="3" bestFit="1" customWidth="1"/>
    <col min="245" max="245" width="13.42578125" style="3" bestFit="1" customWidth="1"/>
    <col min="246" max="246" width="9.140625" style="3"/>
    <col min="247" max="247" width="15.140625" style="3" bestFit="1" customWidth="1"/>
    <col min="248" max="248" width="9.140625" style="3"/>
    <col min="249" max="249" width="10.85546875" style="3" bestFit="1" customWidth="1"/>
    <col min="250" max="250" width="12.7109375" style="3" bestFit="1" customWidth="1"/>
    <col min="251" max="499" width="9.140625" style="3"/>
    <col min="500" max="500" width="28.5703125" style="3" bestFit="1" customWidth="1"/>
    <col min="501" max="501" width="13.42578125" style="3" bestFit="1" customWidth="1"/>
    <col min="502" max="502" width="9.140625" style="3"/>
    <col min="503" max="503" width="15.140625" style="3" bestFit="1" customWidth="1"/>
    <col min="504" max="504" width="9.140625" style="3"/>
    <col min="505" max="505" width="10.85546875" style="3" bestFit="1" customWidth="1"/>
    <col min="506" max="506" width="12.7109375" style="3" bestFit="1" customWidth="1"/>
    <col min="507" max="755" width="9.140625" style="3"/>
    <col min="756" max="756" width="28.5703125" style="3" bestFit="1" customWidth="1"/>
    <col min="757" max="757" width="13.42578125" style="3" bestFit="1" customWidth="1"/>
    <col min="758" max="758" width="9.140625" style="3"/>
    <col min="759" max="759" width="15.140625" style="3" bestFit="1" customWidth="1"/>
    <col min="760" max="760" width="9.140625" style="3"/>
    <col min="761" max="761" width="10.85546875" style="3" bestFit="1" customWidth="1"/>
    <col min="762" max="762" width="12.7109375" style="3" bestFit="1" customWidth="1"/>
    <col min="763" max="1011" width="9.140625" style="3"/>
    <col min="1012" max="1012" width="28.5703125" style="3" bestFit="1" customWidth="1"/>
    <col min="1013" max="1013" width="13.42578125" style="3" bestFit="1" customWidth="1"/>
    <col min="1014" max="1014" width="9.140625" style="3"/>
    <col min="1015" max="1015" width="15.140625" style="3" bestFit="1" customWidth="1"/>
    <col min="1016" max="1016" width="9.140625" style="3"/>
    <col min="1017" max="1017" width="10.85546875" style="3" bestFit="1" customWidth="1"/>
    <col min="1018" max="1018" width="12.7109375" style="3" bestFit="1" customWidth="1"/>
    <col min="1019" max="1267" width="9.140625" style="3"/>
    <col min="1268" max="1268" width="28.5703125" style="3" bestFit="1" customWidth="1"/>
    <col min="1269" max="1269" width="13.42578125" style="3" bestFit="1" customWidth="1"/>
    <col min="1270" max="1270" width="9.140625" style="3"/>
    <col min="1271" max="1271" width="15.140625" style="3" bestFit="1" customWidth="1"/>
    <col min="1272" max="1272" width="9.140625" style="3"/>
    <col min="1273" max="1273" width="10.85546875" style="3" bestFit="1" customWidth="1"/>
    <col min="1274" max="1274" width="12.7109375" style="3" bestFit="1" customWidth="1"/>
    <col min="1275" max="1523" width="9.140625" style="3"/>
    <col min="1524" max="1524" width="28.5703125" style="3" bestFit="1" customWidth="1"/>
    <col min="1525" max="1525" width="13.42578125" style="3" bestFit="1" customWidth="1"/>
    <col min="1526" max="1526" width="9.140625" style="3"/>
    <col min="1527" max="1527" width="15.140625" style="3" bestFit="1" customWidth="1"/>
    <col min="1528" max="1528" width="9.140625" style="3"/>
    <col min="1529" max="1529" width="10.85546875" style="3" bestFit="1" customWidth="1"/>
    <col min="1530" max="1530" width="12.7109375" style="3" bestFit="1" customWidth="1"/>
    <col min="1531" max="1779" width="9.140625" style="3"/>
    <col min="1780" max="1780" width="28.5703125" style="3" bestFit="1" customWidth="1"/>
    <col min="1781" max="1781" width="13.42578125" style="3" bestFit="1" customWidth="1"/>
    <col min="1782" max="1782" width="9.140625" style="3"/>
    <col min="1783" max="1783" width="15.140625" style="3" bestFit="1" customWidth="1"/>
    <col min="1784" max="1784" width="9.140625" style="3"/>
    <col min="1785" max="1785" width="10.85546875" style="3" bestFit="1" customWidth="1"/>
    <col min="1786" max="1786" width="12.7109375" style="3" bestFit="1" customWidth="1"/>
    <col min="1787" max="2035" width="9.140625" style="3"/>
    <col min="2036" max="2036" width="28.5703125" style="3" bestFit="1" customWidth="1"/>
    <col min="2037" max="2037" width="13.42578125" style="3" bestFit="1" customWidth="1"/>
    <col min="2038" max="2038" width="9.140625" style="3"/>
    <col min="2039" max="2039" width="15.140625" style="3" bestFit="1" customWidth="1"/>
    <col min="2040" max="2040" width="9.140625" style="3"/>
    <col min="2041" max="2041" width="10.85546875" style="3" bestFit="1" customWidth="1"/>
    <col min="2042" max="2042" width="12.7109375" style="3" bestFit="1" customWidth="1"/>
    <col min="2043" max="2291" width="9.140625" style="3"/>
    <col min="2292" max="2292" width="28.5703125" style="3" bestFit="1" customWidth="1"/>
    <col min="2293" max="2293" width="13.42578125" style="3" bestFit="1" customWidth="1"/>
    <col min="2294" max="2294" width="9.140625" style="3"/>
    <col min="2295" max="2295" width="15.140625" style="3" bestFit="1" customWidth="1"/>
    <col min="2296" max="2296" width="9.140625" style="3"/>
    <col min="2297" max="2297" width="10.85546875" style="3" bestFit="1" customWidth="1"/>
    <col min="2298" max="2298" width="12.7109375" style="3" bestFit="1" customWidth="1"/>
    <col min="2299" max="2547" width="9.140625" style="3"/>
    <col min="2548" max="2548" width="28.5703125" style="3" bestFit="1" customWidth="1"/>
    <col min="2549" max="2549" width="13.42578125" style="3" bestFit="1" customWidth="1"/>
    <col min="2550" max="2550" width="9.140625" style="3"/>
    <col min="2551" max="2551" width="15.140625" style="3" bestFit="1" customWidth="1"/>
    <col min="2552" max="2552" width="9.140625" style="3"/>
    <col min="2553" max="2553" width="10.85546875" style="3" bestFit="1" customWidth="1"/>
    <col min="2554" max="2554" width="12.7109375" style="3" bestFit="1" customWidth="1"/>
    <col min="2555" max="2803" width="9.140625" style="3"/>
    <col min="2804" max="2804" width="28.5703125" style="3" bestFit="1" customWidth="1"/>
    <col min="2805" max="2805" width="13.42578125" style="3" bestFit="1" customWidth="1"/>
    <col min="2806" max="2806" width="9.140625" style="3"/>
    <col min="2807" max="2807" width="15.140625" style="3" bestFit="1" customWidth="1"/>
    <col min="2808" max="2808" width="9.140625" style="3"/>
    <col min="2809" max="2809" width="10.85546875" style="3" bestFit="1" customWidth="1"/>
    <col min="2810" max="2810" width="12.7109375" style="3" bestFit="1" customWidth="1"/>
    <col min="2811" max="3059" width="9.140625" style="3"/>
    <col min="3060" max="3060" width="28.5703125" style="3" bestFit="1" customWidth="1"/>
    <col min="3061" max="3061" width="13.42578125" style="3" bestFit="1" customWidth="1"/>
    <col min="3062" max="3062" width="9.140625" style="3"/>
    <col min="3063" max="3063" width="15.140625" style="3" bestFit="1" customWidth="1"/>
    <col min="3064" max="3064" width="9.140625" style="3"/>
    <col min="3065" max="3065" width="10.85546875" style="3" bestFit="1" customWidth="1"/>
    <col min="3066" max="3066" width="12.7109375" style="3" bestFit="1" customWidth="1"/>
    <col min="3067" max="3315" width="9.140625" style="3"/>
    <col min="3316" max="3316" width="28.5703125" style="3" bestFit="1" customWidth="1"/>
    <col min="3317" max="3317" width="13.42578125" style="3" bestFit="1" customWidth="1"/>
    <col min="3318" max="3318" width="9.140625" style="3"/>
    <col min="3319" max="3319" width="15.140625" style="3" bestFit="1" customWidth="1"/>
    <col min="3320" max="3320" width="9.140625" style="3"/>
    <col min="3321" max="3321" width="10.85546875" style="3" bestFit="1" customWidth="1"/>
    <col min="3322" max="3322" width="12.7109375" style="3" bestFit="1" customWidth="1"/>
    <col min="3323" max="3571" width="9.140625" style="3"/>
    <col min="3572" max="3572" width="28.5703125" style="3" bestFit="1" customWidth="1"/>
    <col min="3573" max="3573" width="13.42578125" style="3" bestFit="1" customWidth="1"/>
    <col min="3574" max="3574" width="9.140625" style="3"/>
    <col min="3575" max="3575" width="15.140625" style="3" bestFit="1" customWidth="1"/>
    <col min="3576" max="3576" width="9.140625" style="3"/>
    <col min="3577" max="3577" width="10.85546875" style="3" bestFit="1" customWidth="1"/>
    <col min="3578" max="3578" width="12.7109375" style="3" bestFit="1" customWidth="1"/>
    <col min="3579" max="3827" width="9.140625" style="3"/>
    <col min="3828" max="3828" width="28.5703125" style="3" bestFit="1" customWidth="1"/>
    <col min="3829" max="3829" width="13.42578125" style="3" bestFit="1" customWidth="1"/>
    <col min="3830" max="3830" width="9.140625" style="3"/>
    <col min="3831" max="3831" width="15.140625" style="3" bestFit="1" customWidth="1"/>
    <col min="3832" max="3832" width="9.140625" style="3"/>
    <col min="3833" max="3833" width="10.85546875" style="3" bestFit="1" customWidth="1"/>
    <col min="3834" max="3834" width="12.7109375" style="3" bestFit="1" customWidth="1"/>
    <col min="3835" max="4083" width="9.140625" style="3"/>
    <col min="4084" max="4084" width="28.5703125" style="3" bestFit="1" customWidth="1"/>
    <col min="4085" max="4085" width="13.42578125" style="3" bestFit="1" customWidth="1"/>
    <col min="4086" max="4086" width="9.140625" style="3"/>
    <col min="4087" max="4087" width="15.140625" style="3" bestFit="1" customWidth="1"/>
    <col min="4088" max="4088" width="9.140625" style="3"/>
    <col min="4089" max="4089" width="10.85546875" style="3" bestFit="1" customWidth="1"/>
    <col min="4090" max="4090" width="12.7109375" style="3" bestFit="1" customWidth="1"/>
    <col min="4091" max="4339" width="9.140625" style="3"/>
    <col min="4340" max="4340" width="28.5703125" style="3" bestFit="1" customWidth="1"/>
    <col min="4341" max="4341" width="13.42578125" style="3" bestFit="1" customWidth="1"/>
    <col min="4342" max="4342" width="9.140625" style="3"/>
    <col min="4343" max="4343" width="15.140625" style="3" bestFit="1" customWidth="1"/>
    <col min="4344" max="4344" width="9.140625" style="3"/>
    <col min="4345" max="4345" width="10.85546875" style="3" bestFit="1" customWidth="1"/>
    <col min="4346" max="4346" width="12.7109375" style="3" bestFit="1" customWidth="1"/>
    <col min="4347" max="4595" width="9.140625" style="3"/>
    <col min="4596" max="4596" width="28.5703125" style="3" bestFit="1" customWidth="1"/>
    <col min="4597" max="4597" width="13.42578125" style="3" bestFit="1" customWidth="1"/>
    <col min="4598" max="4598" width="9.140625" style="3"/>
    <col min="4599" max="4599" width="15.140625" style="3" bestFit="1" customWidth="1"/>
    <col min="4600" max="4600" width="9.140625" style="3"/>
    <col min="4601" max="4601" width="10.85546875" style="3" bestFit="1" customWidth="1"/>
    <col min="4602" max="4602" width="12.7109375" style="3" bestFit="1" customWidth="1"/>
    <col min="4603" max="4851" width="9.140625" style="3"/>
    <col min="4852" max="4852" width="28.5703125" style="3" bestFit="1" customWidth="1"/>
    <col min="4853" max="4853" width="13.42578125" style="3" bestFit="1" customWidth="1"/>
    <col min="4854" max="4854" width="9.140625" style="3"/>
    <col min="4855" max="4855" width="15.140625" style="3" bestFit="1" customWidth="1"/>
    <col min="4856" max="4856" width="9.140625" style="3"/>
    <col min="4857" max="4857" width="10.85546875" style="3" bestFit="1" customWidth="1"/>
    <col min="4858" max="4858" width="12.7109375" style="3" bestFit="1" customWidth="1"/>
    <col min="4859" max="5107" width="9.140625" style="3"/>
    <col min="5108" max="5108" width="28.5703125" style="3" bestFit="1" customWidth="1"/>
    <col min="5109" max="5109" width="13.42578125" style="3" bestFit="1" customWidth="1"/>
    <col min="5110" max="5110" width="9.140625" style="3"/>
    <col min="5111" max="5111" width="15.140625" style="3" bestFit="1" customWidth="1"/>
    <col min="5112" max="5112" width="9.140625" style="3"/>
    <col min="5113" max="5113" width="10.85546875" style="3" bestFit="1" customWidth="1"/>
    <col min="5114" max="5114" width="12.7109375" style="3" bestFit="1" customWidth="1"/>
    <col min="5115" max="5363" width="9.140625" style="3"/>
    <col min="5364" max="5364" width="28.5703125" style="3" bestFit="1" customWidth="1"/>
    <col min="5365" max="5365" width="13.42578125" style="3" bestFit="1" customWidth="1"/>
    <col min="5366" max="5366" width="9.140625" style="3"/>
    <col min="5367" max="5367" width="15.140625" style="3" bestFit="1" customWidth="1"/>
    <col min="5368" max="5368" width="9.140625" style="3"/>
    <col min="5369" max="5369" width="10.85546875" style="3" bestFit="1" customWidth="1"/>
    <col min="5370" max="5370" width="12.7109375" style="3" bestFit="1" customWidth="1"/>
    <col min="5371" max="5619" width="9.140625" style="3"/>
    <col min="5620" max="5620" width="28.5703125" style="3" bestFit="1" customWidth="1"/>
    <col min="5621" max="5621" width="13.42578125" style="3" bestFit="1" customWidth="1"/>
    <col min="5622" max="5622" width="9.140625" style="3"/>
    <col min="5623" max="5623" width="15.140625" style="3" bestFit="1" customWidth="1"/>
    <col min="5624" max="5624" width="9.140625" style="3"/>
    <col min="5625" max="5625" width="10.85546875" style="3" bestFit="1" customWidth="1"/>
    <col min="5626" max="5626" width="12.7109375" style="3" bestFit="1" customWidth="1"/>
    <col min="5627" max="5875" width="9.140625" style="3"/>
    <col min="5876" max="5876" width="28.5703125" style="3" bestFit="1" customWidth="1"/>
    <col min="5877" max="5877" width="13.42578125" style="3" bestFit="1" customWidth="1"/>
    <col min="5878" max="5878" width="9.140625" style="3"/>
    <col min="5879" max="5879" width="15.140625" style="3" bestFit="1" customWidth="1"/>
    <col min="5880" max="5880" width="9.140625" style="3"/>
    <col min="5881" max="5881" width="10.85546875" style="3" bestFit="1" customWidth="1"/>
    <col min="5882" max="5882" width="12.7109375" style="3" bestFit="1" customWidth="1"/>
    <col min="5883" max="6131" width="9.140625" style="3"/>
    <col min="6132" max="6132" width="28.5703125" style="3" bestFit="1" customWidth="1"/>
    <col min="6133" max="6133" width="13.42578125" style="3" bestFit="1" customWidth="1"/>
    <col min="6134" max="6134" width="9.140625" style="3"/>
    <col min="6135" max="6135" width="15.140625" style="3" bestFit="1" customWidth="1"/>
    <col min="6136" max="6136" width="9.140625" style="3"/>
    <col min="6137" max="6137" width="10.85546875" style="3" bestFit="1" customWidth="1"/>
    <col min="6138" max="6138" width="12.7109375" style="3" bestFit="1" customWidth="1"/>
    <col min="6139" max="6387" width="9.140625" style="3"/>
    <col min="6388" max="6388" width="28.5703125" style="3" bestFit="1" customWidth="1"/>
    <col min="6389" max="6389" width="13.42578125" style="3" bestFit="1" customWidth="1"/>
    <col min="6390" max="6390" width="9.140625" style="3"/>
    <col min="6391" max="6391" width="15.140625" style="3" bestFit="1" customWidth="1"/>
    <col min="6392" max="6392" width="9.140625" style="3"/>
    <col min="6393" max="6393" width="10.85546875" style="3" bestFit="1" customWidth="1"/>
    <col min="6394" max="6394" width="12.7109375" style="3" bestFit="1" customWidth="1"/>
    <col min="6395" max="6643" width="9.140625" style="3"/>
    <col min="6644" max="6644" width="28.5703125" style="3" bestFit="1" customWidth="1"/>
    <col min="6645" max="6645" width="13.42578125" style="3" bestFit="1" customWidth="1"/>
    <col min="6646" max="6646" width="9.140625" style="3"/>
    <col min="6647" max="6647" width="15.140625" style="3" bestFit="1" customWidth="1"/>
    <col min="6648" max="6648" width="9.140625" style="3"/>
    <col min="6649" max="6649" width="10.85546875" style="3" bestFit="1" customWidth="1"/>
    <col min="6650" max="6650" width="12.7109375" style="3" bestFit="1" customWidth="1"/>
    <col min="6651" max="6899" width="9.140625" style="3"/>
    <col min="6900" max="6900" width="28.5703125" style="3" bestFit="1" customWidth="1"/>
    <col min="6901" max="6901" width="13.42578125" style="3" bestFit="1" customWidth="1"/>
    <col min="6902" max="6902" width="9.140625" style="3"/>
    <col min="6903" max="6903" width="15.140625" style="3" bestFit="1" customWidth="1"/>
    <col min="6904" max="6904" width="9.140625" style="3"/>
    <col min="6905" max="6905" width="10.85546875" style="3" bestFit="1" customWidth="1"/>
    <col min="6906" max="6906" width="12.7109375" style="3" bestFit="1" customWidth="1"/>
    <col min="6907" max="7155" width="9.140625" style="3"/>
    <col min="7156" max="7156" width="28.5703125" style="3" bestFit="1" customWidth="1"/>
    <col min="7157" max="7157" width="13.42578125" style="3" bestFit="1" customWidth="1"/>
    <col min="7158" max="7158" width="9.140625" style="3"/>
    <col min="7159" max="7159" width="15.140625" style="3" bestFit="1" customWidth="1"/>
    <col min="7160" max="7160" width="9.140625" style="3"/>
    <col min="7161" max="7161" width="10.85546875" style="3" bestFit="1" customWidth="1"/>
    <col min="7162" max="7162" width="12.7109375" style="3" bestFit="1" customWidth="1"/>
    <col min="7163" max="7411" width="9.140625" style="3"/>
    <col min="7412" max="7412" width="28.5703125" style="3" bestFit="1" customWidth="1"/>
    <col min="7413" max="7413" width="13.42578125" style="3" bestFit="1" customWidth="1"/>
    <col min="7414" max="7414" width="9.140625" style="3"/>
    <col min="7415" max="7415" width="15.140625" style="3" bestFit="1" customWidth="1"/>
    <col min="7416" max="7416" width="9.140625" style="3"/>
    <col min="7417" max="7417" width="10.85546875" style="3" bestFit="1" customWidth="1"/>
    <col min="7418" max="7418" width="12.7109375" style="3" bestFit="1" customWidth="1"/>
    <col min="7419" max="7667" width="9.140625" style="3"/>
    <col min="7668" max="7668" width="28.5703125" style="3" bestFit="1" customWidth="1"/>
    <col min="7669" max="7669" width="13.42578125" style="3" bestFit="1" customWidth="1"/>
    <col min="7670" max="7670" width="9.140625" style="3"/>
    <col min="7671" max="7671" width="15.140625" style="3" bestFit="1" customWidth="1"/>
    <col min="7672" max="7672" width="9.140625" style="3"/>
    <col min="7673" max="7673" width="10.85546875" style="3" bestFit="1" customWidth="1"/>
    <col min="7674" max="7674" width="12.7109375" style="3" bestFit="1" customWidth="1"/>
    <col min="7675" max="7923" width="9.140625" style="3"/>
    <col min="7924" max="7924" width="28.5703125" style="3" bestFit="1" customWidth="1"/>
    <col min="7925" max="7925" width="13.42578125" style="3" bestFit="1" customWidth="1"/>
    <col min="7926" max="7926" width="9.140625" style="3"/>
    <col min="7927" max="7927" width="15.140625" style="3" bestFit="1" customWidth="1"/>
    <col min="7928" max="7928" width="9.140625" style="3"/>
    <col min="7929" max="7929" width="10.85546875" style="3" bestFit="1" customWidth="1"/>
    <col min="7930" max="7930" width="12.7109375" style="3" bestFit="1" customWidth="1"/>
    <col min="7931" max="8179" width="9.140625" style="3"/>
    <col min="8180" max="8180" width="28.5703125" style="3" bestFit="1" customWidth="1"/>
    <col min="8181" max="8181" width="13.42578125" style="3" bestFit="1" customWidth="1"/>
    <col min="8182" max="8182" width="9.140625" style="3"/>
    <col min="8183" max="8183" width="15.140625" style="3" bestFit="1" customWidth="1"/>
    <col min="8184" max="8184" width="9.140625" style="3"/>
    <col min="8185" max="8185" width="10.85546875" style="3" bestFit="1" customWidth="1"/>
    <col min="8186" max="8186" width="12.7109375" style="3" bestFit="1" customWidth="1"/>
    <col min="8187" max="8435" width="9.140625" style="3"/>
    <col min="8436" max="8436" width="28.5703125" style="3" bestFit="1" customWidth="1"/>
    <col min="8437" max="8437" width="13.42578125" style="3" bestFit="1" customWidth="1"/>
    <col min="8438" max="8438" width="9.140625" style="3"/>
    <col min="8439" max="8439" width="15.140625" style="3" bestFit="1" customWidth="1"/>
    <col min="8440" max="8440" width="9.140625" style="3"/>
    <col min="8441" max="8441" width="10.85546875" style="3" bestFit="1" customWidth="1"/>
    <col min="8442" max="8442" width="12.7109375" style="3" bestFit="1" customWidth="1"/>
    <col min="8443" max="8691" width="9.140625" style="3"/>
    <col min="8692" max="8692" width="28.5703125" style="3" bestFit="1" customWidth="1"/>
    <col min="8693" max="8693" width="13.42578125" style="3" bestFit="1" customWidth="1"/>
    <col min="8694" max="8694" width="9.140625" style="3"/>
    <col min="8695" max="8695" width="15.140625" style="3" bestFit="1" customWidth="1"/>
    <col min="8696" max="8696" width="9.140625" style="3"/>
    <col min="8697" max="8697" width="10.85546875" style="3" bestFit="1" customWidth="1"/>
    <col min="8698" max="8698" width="12.7109375" style="3" bestFit="1" customWidth="1"/>
    <col min="8699" max="8947" width="9.140625" style="3"/>
    <col min="8948" max="8948" width="28.5703125" style="3" bestFit="1" customWidth="1"/>
    <col min="8949" max="8949" width="13.42578125" style="3" bestFit="1" customWidth="1"/>
    <col min="8950" max="8950" width="9.140625" style="3"/>
    <col min="8951" max="8951" width="15.140625" style="3" bestFit="1" customWidth="1"/>
    <col min="8952" max="8952" width="9.140625" style="3"/>
    <col min="8953" max="8953" width="10.85546875" style="3" bestFit="1" customWidth="1"/>
    <col min="8954" max="8954" width="12.7109375" style="3" bestFit="1" customWidth="1"/>
    <col min="8955" max="9203" width="9.140625" style="3"/>
    <col min="9204" max="9204" width="28.5703125" style="3" bestFit="1" customWidth="1"/>
    <col min="9205" max="9205" width="13.42578125" style="3" bestFit="1" customWidth="1"/>
    <col min="9206" max="9206" width="9.140625" style="3"/>
    <col min="9207" max="9207" width="15.140625" style="3" bestFit="1" customWidth="1"/>
    <col min="9208" max="9208" width="9.140625" style="3"/>
    <col min="9209" max="9209" width="10.85546875" style="3" bestFit="1" customWidth="1"/>
    <col min="9210" max="9210" width="12.7109375" style="3" bestFit="1" customWidth="1"/>
    <col min="9211" max="9459" width="9.140625" style="3"/>
    <col min="9460" max="9460" width="28.5703125" style="3" bestFit="1" customWidth="1"/>
    <col min="9461" max="9461" width="13.42578125" style="3" bestFit="1" customWidth="1"/>
    <col min="9462" max="9462" width="9.140625" style="3"/>
    <col min="9463" max="9463" width="15.140625" style="3" bestFit="1" customWidth="1"/>
    <col min="9464" max="9464" width="9.140625" style="3"/>
    <col min="9465" max="9465" width="10.85546875" style="3" bestFit="1" customWidth="1"/>
    <col min="9466" max="9466" width="12.7109375" style="3" bestFit="1" customWidth="1"/>
    <col min="9467" max="9715" width="9.140625" style="3"/>
    <col min="9716" max="9716" width="28.5703125" style="3" bestFit="1" customWidth="1"/>
    <col min="9717" max="9717" width="13.42578125" style="3" bestFit="1" customWidth="1"/>
    <col min="9718" max="9718" width="9.140625" style="3"/>
    <col min="9719" max="9719" width="15.140625" style="3" bestFit="1" customWidth="1"/>
    <col min="9720" max="9720" width="9.140625" style="3"/>
    <col min="9721" max="9721" width="10.85546875" style="3" bestFit="1" customWidth="1"/>
    <col min="9722" max="9722" width="12.7109375" style="3" bestFit="1" customWidth="1"/>
    <col min="9723" max="9971" width="9.140625" style="3"/>
    <col min="9972" max="9972" width="28.5703125" style="3" bestFit="1" customWidth="1"/>
    <col min="9973" max="9973" width="13.42578125" style="3" bestFit="1" customWidth="1"/>
    <col min="9974" max="9974" width="9.140625" style="3"/>
    <col min="9975" max="9975" width="15.140625" style="3" bestFit="1" customWidth="1"/>
    <col min="9976" max="9976" width="9.140625" style="3"/>
    <col min="9977" max="9977" width="10.85546875" style="3" bestFit="1" customWidth="1"/>
    <col min="9978" max="9978" width="12.7109375" style="3" bestFit="1" customWidth="1"/>
    <col min="9979" max="10227" width="9.140625" style="3"/>
    <col min="10228" max="10228" width="28.5703125" style="3" bestFit="1" customWidth="1"/>
    <col min="10229" max="10229" width="13.42578125" style="3" bestFit="1" customWidth="1"/>
    <col min="10230" max="10230" width="9.140625" style="3"/>
    <col min="10231" max="10231" width="15.140625" style="3" bestFit="1" customWidth="1"/>
    <col min="10232" max="10232" width="9.140625" style="3"/>
    <col min="10233" max="10233" width="10.85546875" style="3" bestFit="1" customWidth="1"/>
    <col min="10234" max="10234" width="12.7109375" style="3" bestFit="1" customWidth="1"/>
    <col min="10235" max="10483" width="9.140625" style="3"/>
    <col min="10484" max="10484" width="28.5703125" style="3" bestFit="1" customWidth="1"/>
    <col min="10485" max="10485" width="13.42578125" style="3" bestFit="1" customWidth="1"/>
    <col min="10486" max="10486" width="9.140625" style="3"/>
    <col min="10487" max="10487" width="15.140625" style="3" bestFit="1" customWidth="1"/>
    <col min="10488" max="10488" width="9.140625" style="3"/>
    <col min="10489" max="10489" width="10.85546875" style="3" bestFit="1" customWidth="1"/>
    <col min="10490" max="10490" width="12.7109375" style="3" bestFit="1" customWidth="1"/>
    <col min="10491" max="10739" width="9.140625" style="3"/>
    <col min="10740" max="10740" width="28.5703125" style="3" bestFit="1" customWidth="1"/>
    <col min="10741" max="10741" width="13.42578125" style="3" bestFit="1" customWidth="1"/>
    <col min="10742" max="10742" width="9.140625" style="3"/>
    <col min="10743" max="10743" width="15.140625" style="3" bestFit="1" customWidth="1"/>
    <col min="10744" max="10744" width="9.140625" style="3"/>
    <col min="10745" max="10745" width="10.85546875" style="3" bestFit="1" customWidth="1"/>
    <col min="10746" max="10746" width="12.7109375" style="3" bestFit="1" customWidth="1"/>
    <col min="10747" max="10995" width="9.140625" style="3"/>
    <col min="10996" max="10996" width="28.5703125" style="3" bestFit="1" customWidth="1"/>
    <col min="10997" max="10997" width="13.42578125" style="3" bestFit="1" customWidth="1"/>
    <col min="10998" max="10998" width="9.140625" style="3"/>
    <col min="10999" max="10999" width="15.140625" style="3" bestFit="1" customWidth="1"/>
    <col min="11000" max="11000" width="9.140625" style="3"/>
    <col min="11001" max="11001" width="10.85546875" style="3" bestFit="1" customWidth="1"/>
    <col min="11002" max="11002" width="12.7109375" style="3" bestFit="1" customWidth="1"/>
    <col min="11003" max="11251" width="9.140625" style="3"/>
    <col min="11252" max="11252" width="28.5703125" style="3" bestFit="1" customWidth="1"/>
    <col min="11253" max="11253" width="13.42578125" style="3" bestFit="1" customWidth="1"/>
    <col min="11254" max="11254" width="9.140625" style="3"/>
    <col min="11255" max="11255" width="15.140625" style="3" bestFit="1" customWidth="1"/>
    <col min="11256" max="11256" width="9.140625" style="3"/>
    <col min="11257" max="11257" width="10.85546875" style="3" bestFit="1" customWidth="1"/>
    <col min="11258" max="11258" width="12.7109375" style="3" bestFit="1" customWidth="1"/>
    <col min="11259" max="11507" width="9.140625" style="3"/>
    <col min="11508" max="11508" width="28.5703125" style="3" bestFit="1" customWidth="1"/>
    <col min="11509" max="11509" width="13.42578125" style="3" bestFit="1" customWidth="1"/>
    <col min="11510" max="11510" width="9.140625" style="3"/>
    <col min="11511" max="11511" width="15.140625" style="3" bestFit="1" customWidth="1"/>
    <col min="11512" max="11512" width="9.140625" style="3"/>
    <col min="11513" max="11513" width="10.85546875" style="3" bestFit="1" customWidth="1"/>
    <col min="11514" max="11514" width="12.7109375" style="3" bestFit="1" customWidth="1"/>
    <col min="11515" max="11763" width="9.140625" style="3"/>
    <col min="11764" max="11764" width="28.5703125" style="3" bestFit="1" customWidth="1"/>
    <col min="11765" max="11765" width="13.42578125" style="3" bestFit="1" customWidth="1"/>
    <col min="11766" max="11766" width="9.140625" style="3"/>
    <col min="11767" max="11767" width="15.140625" style="3" bestFit="1" customWidth="1"/>
    <col min="11768" max="11768" width="9.140625" style="3"/>
    <col min="11769" max="11769" width="10.85546875" style="3" bestFit="1" customWidth="1"/>
    <col min="11770" max="11770" width="12.7109375" style="3" bestFit="1" customWidth="1"/>
    <col min="11771" max="12019" width="9.140625" style="3"/>
    <col min="12020" max="12020" width="28.5703125" style="3" bestFit="1" customWidth="1"/>
    <col min="12021" max="12021" width="13.42578125" style="3" bestFit="1" customWidth="1"/>
    <col min="12022" max="12022" width="9.140625" style="3"/>
    <col min="12023" max="12023" width="15.140625" style="3" bestFit="1" customWidth="1"/>
    <col min="12024" max="12024" width="9.140625" style="3"/>
    <col min="12025" max="12025" width="10.85546875" style="3" bestFit="1" customWidth="1"/>
    <col min="12026" max="12026" width="12.7109375" style="3" bestFit="1" customWidth="1"/>
    <col min="12027" max="12275" width="9.140625" style="3"/>
    <col min="12276" max="12276" width="28.5703125" style="3" bestFit="1" customWidth="1"/>
    <col min="12277" max="12277" width="13.42578125" style="3" bestFit="1" customWidth="1"/>
    <col min="12278" max="12278" width="9.140625" style="3"/>
    <col min="12279" max="12279" width="15.140625" style="3" bestFit="1" customWidth="1"/>
    <col min="12280" max="12280" width="9.140625" style="3"/>
    <col min="12281" max="12281" width="10.85546875" style="3" bestFit="1" customWidth="1"/>
    <col min="12282" max="12282" width="12.7109375" style="3" bestFit="1" customWidth="1"/>
    <col min="12283" max="12531" width="9.140625" style="3"/>
    <col min="12532" max="12532" width="28.5703125" style="3" bestFit="1" customWidth="1"/>
    <col min="12533" max="12533" width="13.42578125" style="3" bestFit="1" customWidth="1"/>
    <col min="12534" max="12534" width="9.140625" style="3"/>
    <col min="12535" max="12535" width="15.140625" style="3" bestFit="1" customWidth="1"/>
    <col min="12536" max="12536" width="9.140625" style="3"/>
    <col min="12537" max="12537" width="10.85546875" style="3" bestFit="1" customWidth="1"/>
    <col min="12538" max="12538" width="12.7109375" style="3" bestFit="1" customWidth="1"/>
    <col min="12539" max="12787" width="9.140625" style="3"/>
    <col min="12788" max="12788" width="28.5703125" style="3" bestFit="1" customWidth="1"/>
    <col min="12789" max="12789" width="13.42578125" style="3" bestFit="1" customWidth="1"/>
    <col min="12790" max="12790" width="9.140625" style="3"/>
    <col min="12791" max="12791" width="15.140625" style="3" bestFit="1" customWidth="1"/>
    <col min="12792" max="12792" width="9.140625" style="3"/>
    <col min="12793" max="12793" width="10.85546875" style="3" bestFit="1" customWidth="1"/>
    <col min="12794" max="12794" width="12.7109375" style="3" bestFit="1" customWidth="1"/>
    <col min="12795" max="13043" width="9.140625" style="3"/>
    <col min="13044" max="13044" width="28.5703125" style="3" bestFit="1" customWidth="1"/>
    <col min="13045" max="13045" width="13.42578125" style="3" bestFit="1" customWidth="1"/>
    <col min="13046" max="13046" width="9.140625" style="3"/>
    <col min="13047" max="13047" width="15.140625" style="3" bestFit="1" customWidth="1"/>
    <col min="13048" max="13048" width="9.140625" style="3"/>
    <col min="13049" max="13049" width="10.85546875" style="3" bestFit="1" customWidth="1"/>
    <col min="13050" max="13050" width="12.7109375" style="3" bestFit="1" customWidth="1"/>
    <col min="13051" max="13299" width="9.140625" style="3"/>
    <col min="13300" max="13300" width="28.5703125" style="3" bestFit="1" customWidth="1"/>
    <col min="13301" max="13301" width="13.42578125" style="3" bestFit="1" customWidth="1"/>
    <col min="13302" max="13302" width="9.140625" style="3"/>
    <col min="13303" max="13303" width="15.140625" style="3" bestFit="1" customWidth="1"/>
    <col min="13304" max="13304" width="9.140625" style="3"/>
    <col min="13305" max="13305" width="10.85546875" style="3" bestFit="1" customWidth="1"/>
    <col min="13306" max="13306" width="12.7109375" style="3" bestFit="1" customWidth="1"/>
    <col min="13307" max="13555" width="9.140625" style="3"/>
    <col min="13556" max="13556" width="28.5703125" style="3" bestFit="1" customWidth="1"/>
    <col min="13557" max="13557" width="13.42578125" style="3" bestFit="1" customWidth="1"/>
    <col min="13558" max="13558" width="9.140625" style="3"/>
    <col min="13559" max="13559" width="15.140625" style="3" bestFit="1" customWidth="1"/>
    <col min="13560" max="13560" width="9.140625" style="3"/>
    <col min="13561" max="13561" width="10.85546875" style="3" bestFit="1" customWidth="1"/>
    <col min="13562" max="13562" width="12.7109375" style="3" bestFit="1" customWidth="1"/>
    <col min="13563" max="13811" width="9.140625" style="3"/>
    <col min="13812" max="13812" width="28.5703125" style="3" bestFit="1" customWidth="1"/>
    <col min="13813" max="13813" width="13.42578125" style="3" bestFit="1" customWidth="1"/>
    <col min="13814" max="13814" width="9.140625" style="3"/>
    <col min="13815" max="13815" width="15.140625" style="3" bestFit="1" customWidth="1"/>
    <col min="13816" max="13816" width="9.140625" style="3"/>
    <col min="13817" max="13817" width="10.85546875" style="3" bestFit="1" customWidth="1"/>
    <col min="13818" max="13818" width="12.7109375" style="3" bestFit="1" customWidth="1"/>
    <col min="13819" max="14067" width="9.140625" style="3"/>
    <col min="14068" max="14068" width="28.5703125" style="3" bestFit="1" customWidth="1"/>
    <col min="14069" max="14069" width="13.42578125" style="3" bestFit="1" customWidth="1"/>
    <col min="14070" max="14070" width="9.140625" style="3"/>
    <col min="14071" max="14071" width="15.140625" style="3" bestFit="1" customWidth="1"/>
    <col min="14072" max="14072" width="9.140625" style="3"/>
    <col min="14073" max="14073" width="10.85546875" style="3" bestFit="1" customWidth="1"/>
    <col min="14074" max="14074" width="12.7109375" style="3" bestFit="1" customWidth="1"/>
    <col min="14075" max="14323" width="9.140625" style="3"/>
    <col min="14324" max="14324" width="28.5703125" style="3" bestFit="1" customWidth="1"/>
    <col min="14325" max="14325" width="13.42578125" style="3" bestFit="1" customWidth="1"/>
    <col min="14326" max="14326" width="9.140625" style="3"/>
    <col min="14327" max="14327" width="15.140625" style="3" bestFit="1" customWidth="1"/>
    <col min="14328" max="14328" width="9.140625" style="3"/>
    <col min="14329" max="14329" width="10.85546875" style="3" bestFit="1" customWidth="1"/>
    <col min="14330" max="14330" width="12.7109375" style="3" bestFit="1" customWidth="1"/>
    <col min="14331" max="14579" width="9.140625" style="3"/>
    <col min="14580" max="14580" width="28.5703125" style="3" bestFit="1" customWidth="1"/>
    <col min="14581" max="14581" width="13.42578125" style="3" bestFit="1" customWidth="1"/>
    <col min="14582" max="14582" width="9.140625" style="3"/>
    <col min="14583" max="14583" width="15.140625" style="3" bestFit="1" customWidth="1"/>
    <col min="14584" max="14584" width="9.140625" style="3"/>
    <col min="14585" max="14585" width="10.85546875" style="3" bestFit="1" customWidth="1"/>
    <col min="14586" max="14586" width="12.7109375" style="3" bestFit="1" customWidth="1"/>
    <col min="14587" max="14835" width="9.140625" style="3"/>
    <col min="14836" max="14836" width="28.5703125" style="3" bestFit="1" customWidth="1"/>
    <col min="14837" max="14837" width="13.42578125" style="3" bestFit="1" customWidth="1"/>
    <col min="14838" max="14838" width="9.140625" style="3"/>
    <col min="14839" max="14839" width="15.140625" style="3" bestFit="1" customWidth="1"/>
    <col min="14840" max="14840" width="9.140625" style="3"/>
    <col min="14841" max="14841" width="10.85546875" style="3" bestFit="1" customWidth="1"/>
    <col min="14842" max="14842" width="12.7109375" style="3" bestFit="1" customWidth="1"/>
    <col min="14843" max="15091" width="9.140625" style="3"/>
    <col min="15092" max="15092" width="28.5703125" style="3" bestFit="1" customWidth="1"/>
    <col min="15093" max="15093" width="13.42578125" style="3" bestFit="1" customWidth="1"/>
    <col min="15094" max="15094" width="9.140625" style="3"/>
    <col min="15095" max="15095" width="15.140625" style="3" bestFit="1" customWidth="1"/>
    <col min="15096" max="15096" width="9.140625" style="3"/>
    <col min="15097" max="15097" width="10.85546875" style="3" bestFit="1" customWidth="1"/>
    <col min="15098" max="15098" width="12.7109375" style="3" bestFit="1" customWidth="1"/>
    <col min="15099" max="15347" width="9.140625" style="3"/>
    <col min="15348" max="15348" width="28.5703125" style="3" bestFit="1" customWidth="1"/>
    <col min="15349" max="15349" width="13.42578125" style="3" bestFit="1" customWidth="1"/>
    <col min="15350" max="15350" width="9.140625" style="3"/>
    <col min="15351" max="15351" width="15.140625" style="3" bestFit="1" customWidth="1"/>
    <col min="15352" max="15352" width="9.140625" style="3"/>
    <col min="15353" max="15353" width="10.85546875" style="3" bestFit="1" customWidth="1"/>
    <col min="15354" max="15354" width="12.7109375" style="3" bestFit="1" customWidth="1"/>
    <col min="15355" max="15603" width="9.140625" style="3"/>
    <col min="15604" max="15604" width="28.5703125" style="3" bestFit="1" customWidth="1"/>
    <col min="15605" max="15605" width="13.42578125" style="3" bestFit="1" customWidth="1"/>
    <col min="15606" max="15606" width="9.140625" style="3"/>
    <col min="15607" max="15607" width="15.140625" style="3" bestFit="1" customWidth="1"/>
    <col min="15608" max="15608" width="9.140625" style="3"/>
    <col min="15609" max="15609" width="10.85546875" style="3" bestFit="1" customWidth="1"/>
    <col min="15610" max="15610" width="12.7109375" style="3" bestFit="1" customWidth="1"/>
    <col min="15611" max="15859" width="9.140625" style="3"/>
    <col min="15860" max="15860" width="28.5703125" style="3" bestFit="1" customWidth="1"/>
    <col min="15861" max="15861" width="13.42578125" style="3" bestFit="1" customWidth="1"/>
    <col min="15862" max="15862" width="9.140625" style="3"/>
    <col min="15863" max="15863" width="15.140625" style="3" bestFit="1" customWidth="1"/>
    <col min="15864" max="15864" width="9.140625" style="3"/>
    <col min="15865" max="15865" width="10.85546875" style="3" bestFit="1" customWidth="1"/>
    <col min="15866" max="15866" width="12.7109375" style="3" bestFit="1" customWidth="1"/>
    <col min="15867" max="16115" width="9.140625" style="3"/>
    <col min="16116" max="16116" width="28.5703125" style="3" bestFit="1" customWidth="1"/>
    <col min="16117" max="16117" width="13.42578125" style="3" bestFit="1" customWidth="1"/>
    <col min="16118" max="16118" width="9.140625" style="3"/>
    <col min="16119" max="16119" width="15.140625" style="3" bestFit="1" customWidth="1"/>
    <col min="16120" max="16120" width="9.140625" style="3"/>
    <col min="16121" max="16121" width="10.85546875" style="3" bestFit="1" customWidth="1"/>
    <col min="16122" max="16122" width="12.7109375" style="3" bestFit="1" customWidth="1"/>
    <col min="16123" max="16384" width="9.140625" style="3"/>
  </cols>
  <sheetData>
    <row r="1" spans="1:11">
      <c r="A1" s="270" t="s">
        <v>213</v>
      </c>
      <c r="B1" s="271"/>
      <c r="C1" s="272"/>
    </row>
    <row r="2" spans="1:11" ht="15.75" thickBot="1">
      <c r="A2" s="273"/>
      <c r="B2" s="274"/>
      <c r="C2" s="275"/>
    </row>
    <row r="3" spans="1:11" ht="16.5" customHeight="1">
      <c r="A3" s="278" t="s">
        <v>239</v>
      </c>
      <c r="B3" s="278"/>
      <c r="C3" s="278"/>
    </row>
    <row r="4" spans="1:11" ht="15.75" thickBot="1">
      <c r="A4" s="201"/>
      <c r="B4" s="201"/>
      <c r="C4" s="201"/>
    </row>
    <row r="5" spans="1:11" ht="15.75" thickBot="1">
      <c r="A5" s="3" t="s">
        <v>41</v>
      </c>
      <c r="B5" s="196">
        <f>AVERAGE('Cash Flow'!I6:K6)</f>
        <v>475.80666666666667</v>
      </c>
    </row>
    <row r="6" spans="1:11" ht="15.75" thickBot="1"/>
    <row r="7" spans="1:11" ht="16.5" customHeight="1" thickBot="1">
      <c r="A7" s="33" t="s">
        <v>23</v>
      </c>
      <c r="B7" s="215" t="s">
        <v>0</v>
      </c>
      <c r="C7" s="216" t="s">
        <v>1</v>
      </c>
      <c r="D7" s="9"/>
    </row>
    <row r="8" spans="1:11" ht="16.5" customHeight="1" thickBot="1">
      <c r="A8" s="3" t="s">
        <v>42</v>
      </c>
      <c r="B8" s="49">
        <v>0.15</v>
      </c>
      <c r="C8" s="50">
        <v>0.12</v>
      </c>
      <c r="D8" s="10"/>
      <c r="H8" s="218" t="s">
        <v>253</v>
      </c>
      <c r="I8" s="219"/>
      <c r="J8" s="219"/>
      <c r="K8" s="220"/>
    </row>
    <row r="9" spans="1:11" ht="16.5" thickBot="1">
      <c r="A9" s="3" t="s">
        <v>43</v>
      </c>
      <c r="B9" s="51">
        <v>0.12</v>
      </c>
      <c r="C9" s="52"/>
      <c r="F9" s="42"/>
      <c r="H9" s="221"/>
      <c r="I9" s="222"/>
      <c r="J9" s="222"/>
      <c r="K9" s="223"/>
    </row>
    <row r="10" spans="1:11" ht="16.5" thickBot="1">
      <c r="A10" s="3" t="s">
        <v>44</v>
      </c>
      <c r="B10" s="51">
        <v>0.02</v>
      </c>
      <c r="C10" s="52"/>
      <c r="F10" s="42"/>
      <c r="H10" s="221"/>
      <c r="I10" s="222"/>
      <c r="J10" s="222"/>
      <c r="K10" s="223"/>
    </row>
    <row r="11" spans="1:11" ht="16.5" thickBot="1">
      <c r="B11" s="53"/>
      <c r="C11" s="52"/>
      <c r="F11" s="42"/>
      <c r="H11" s="221"/>
      <c r="I11" s="222"/>
      <c r="J11" s="222"/>
      <c r="K11" s="223"/>
    </row>
    <row r="12" spans="1:11" ht="16.5" thickBot="1">
      <c r="A12" s="3" t="s">
        <v>126</v>
      </c>
      <c r="B12" s="197">
        <f>'First Page'!B15</f>
        <v>9.5919778999999998</v>
      </c>
      <c r="C12" s="52"/>
      <c r="H12" s="221"/>
      <c r="I12" s="222"/>
      <c r="J12" s="222"/>
      <c r="K12" s="223"/>
    </row>
    <row r="13" spans="1:11" ht="16.5" thickBot="1">
      <c r="A13" s="11" t="s">
        <v>45</v>
      </c>
      <c r="B13" s="196">
        <f>'Balance Sheet'!K15+'Balance Sheet'!K12-'Balance Sheet'!K28-'Balance Sheet'!K31</f>
        <v>-761.66</v>
      </c>
      <c r="C13" s="52"/>
      <c r="D13" s="2"/>
      <c r="H13" s="224"/>
      <c r="I13" s="225"/>
      <c r="J13" s="225"/>
      <c r="K13" s="226"/>
    </row>
    <row r="14" spans="1:11" ht="15.75" thickBot="1"/>
    <row r="15" spans="1:11" ht="15.75">
      <c r="A15" s="126" t="s">
        <v>2</v>
      </c>
      <c r="B15" s="121" t="s">
        <v>38</v>
      </c>
      <c r="C15" s="121" t="s">
        <v>3</v>
      </c>
      <c r="D15" s="109" t="s">
        <v>39</v>
      </c>
    </row>
    <row r="16" spans="1:11">
      <c r="A16" s="129">
        <v>1</v>
      </c>
      <c r="B16" s="31">
        <f>(B5*C16)+B5</f>
        <v>547.17766666666671</v>
      </c>
      <c r="C16" s="32">
        <f>$B$8</f>
        <v>0.15</v>
      </c>
      <c r="D16" s="130">
        <f>B16/((1+$B$9)^A16)</f>
        <v>488.55148809523808</v>
      </c>
    </row>
    <row r="17" spans="1:6">
      <c r="A17" s="129">
        <v>2</v>
      </c>
      <c r="B17" s="31">
        <f t="shared" ref="B17:B25" si="0">(B16*C17)+B16</f>
        <v>629.25431666666668</v>
      </c>
      <c r="C17" s="32">
        <f>$B$8</f>
        <v>0.15</v>
      </c>
      <c r="D17" s="130">
        <f t="shared" ref="D17:D25" si="1">B17/((1+$B$9)^A17)</f>
        <v>501.63768866921765</v>
      </c>
    </row>
    <row r="18" spans="1:6">
      <c r="A18" s="129">
        <v>3</v>
      </c>
      <c r="B18" s="31">
        <f t="shared" si="0"/>
        <v>723.64246416666674</v>
      </c>
      <c r="C18" s="32">
        <f>$B$8</f>
        <v>0.15</v>
      </c>
      <c r="D18" s="130">
        <f t="shared" si="1"/>
        <v>515.07441247285738</v>
      </c>
      <c r="F18" s="41"/>
    </row>
    <row r="19" spans="1:6">
      <c r="A19" s="129">
        <v>4</v>
      </c>
      <c r="B19" s="31">
        <f t="shared" si="0"/>
        <v>832.18883379166675</v>
      </c>
      <c r="C19" s="32">
        <f>$B$8</f>
        <v>0.15</v>
      </c>
      <c r="D19" s="130">
        <f t="shared" si="1"/>
        <v>528.87104852123753</v>
      </c>
      <c r="F19" s="42"/>
    </row>
    <row r="20" spans="1:6">
      <c r="A20" s="129">
        <v>5</v>
      </c>
      <c r="B20" s="31">
        <f t="shared" si="0"/>
        <v>957.01715886041677</v>
      </c>
      <c r="C20" s="32">
        <f>$B$8</f>
        <v>0.15</v>
      </c>
      <c r="D20" s="130">
        <f t="shared" si="1"/>
        <v>543.0372373209135</v>
      </c>
      <c r="F20" s="42"/>
    </row>
    <row r="21" spans="1:6">
      <c r="A21" s="129">
        <v>6</v>
      </c>
      <c r="B21" s="31">
        <f t="shared" si="0"/>
        <v>1071.8592179236668</v>
      </c>
      <c r="C21" s="32">
        <f>$C$8</f>
        <v>0.12</v>
      </c>
      <c r="D21" s="130">
        <f t="shared" si="1"/>
        <v>543.03723732091339</v>
      </c>
      <c r="F21" s="42"/>
    </row>
    <row r="22" spans="1:6">
      <c r="A22" s="129">
        <v>7</v>
      </c>
      <c r="B22" s="31">
        <f t="shared" si="0"/>
        <v>1200.4823240745068</v>
      </c>
      <c r="C22" s="32">
        <f>$C$8</f>
        <v>0.12</v>
      </c>
      <c r="D22" s="130">
        <f t="shared" si="1"/>
        <v>543.03723732091339</v>
      </c>
      <c r="F22" s="42"/>
    </row>
    <row r="23" spans="1:6">
      <c r="A23" s="129">
        <v>8</v>
      </c>
      <c r="B23" s="31">
        <f t="shared" si="0"/>
        <v>1344.5402029634477</v>
      </c>
      <c r="C23" s="32">
        <f>$C$8</f>
        <v>0.12</v>
      </c>
      <c r="D23" s="130">
        <f t="shared" si="1"/>
        <v>543.03723732091339</v>
      </c>
    </row>
    <row r="24" spans="1:6">
      <c r="A24" s="129">
        <v>9</v>
      </c>
      <c r="B24" s="31">
        <f t="shared" si="0"/>
        <v>1505.8850273190615</v>
      </c>
      <c r="C24" s="32">
        <f>$C$8</f>
        <v>0.12</v>
      </c>
      <c r="D24" s="130">
        <f t="shared" si="1"/>
        <v>543.03723732091339</v>
      </c>
    </row>
    <row r="25" spans="1:6" ht="15.75" thickBot="1">
      <c r="A25" s="131">
        <v>10</v>
      </c>
      <c r="B25" s="132">
        <f t="shared" si="0"/>
        <v>1686.5912305973488</v>
      </c>
      <c r="C25" s="133">
        <f>$C$8</f>
        <v>0.12</v>
      </c>
      <c r="D25" s="134">
        <f t="shared" si="1"/>
        <v>543.03723732091328</v>
      </c>
    </row>
    <row r="26" spans="1:6" ht="15.75" thickBot="1">
      <c r="A26" s="13"/>
      <c r="B26" s="14"/>
      <c r="C26" s="12"/>
      <c r="D26" s="15"/>
    </row>
    <row r="27" spans="1:6" ht="15.75">
      <c r="A27" s="276" t="s">
        <v>40</v>
      </c>
      <c r="B27" s="277"/>
      <c r="C27" s="12"/>
      <c r="D27" s="15"/>
    </row>
    <row r="28" spans="1:6">
      <c r="A28" s="135" t="s">
        <v>4</v>
      </c>
      <c r="B28" s="130">
        <f>(B25*B10)+B25</f>
        <v>1720.3230552092957</v>
      </c>
      <c r="C28" s="16"/>
      <c r="D28" s="17"/>
    </row>
    <row r="29" spans="1:6">
      <c r="A29" s="136" t="s">
        <v>37</v>
      </c>
      <c r="B29" s="130">
        <f>SUM(D16:D25)</f>
        <v>5292.3580616840309</v>
      </c>
      <c r="C29" s="11"/>
    </row>
    <row r="30" spans="1:6">
      <c r="A30" s="135" t="s">
        <v>36</v>
      </c>
      <c r="B30" s="130">
        <f>((B28)/($B$9-$B$10))/(1+$B$9)^A25</f>
        <v>5538.9798206733158</v>
      </c>
      <c r="C30" s="11"/>
    </row>
    <row r="31" spans="1:6">
      <c r="A31" s="135" t="s">
        <v>35</v>
      </c>
      <c r="B31" s="130">
        <f>B29+B30</f>
        <v>10831.337882357348</v>
      </c>
      <c r="C31" s="11"/>
    </row>
    <row r="32" spans="1:6">
      <c r="A32" s="135" t="s">
        <v>34</v>
      </c>
      <c r="B32" s="130">
        <f>B12</f>
        <v>9.5919778999999998</v>
      </c>
      <c r="C32" s="11"/>
    </row>
    <row r="33" spans="1:4" ht="16.5" thickBot="1">
      <c r="A33" s="137" t="s">
        <v>46</v>
      </c>
      <c r="B33" s="138">
        <f>(B31-B13)/B32</f>
        <v>1208.613906664375</v>
      </c>
      <c r="C33" s="11"/>
    </row>
    <row r="35" spans="1:4">
      <c r="A35" s="18"/>
      <c r="D35" s="2"/>
    </row>
    <row r="37" spans="1:4">
      <c r="A37" s="19"/>
      <c r="D37" s="20"/>
    </row>
    <row r="38" spans="1:4">
      <c r="A38" s="21"/>
    </row>
  </sheetData>
  <mergeCells count="4">
    <mergeCell ref="A1:C2"/>
    <mergeCell ref="A27:B27"/>
    <mergeCell ref="A3:C3"/>
    <mergeCell ref="H8:K1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R65"/>
  <sheetViews>
    <sheetView topLeftCell="A10" workbookViewId="0">
      <selection sqref="A1:J1"/>
    </sheetView>
  </sheetViews>
  <sheetFormatPr defaultRowHeight="15"/>
  <cols>
    <col min="1" max="1" width="19" style="40" customWidth="1"/>
    <col min="2" max="2" width="13.7109375" style="40" customWidth="1"/>
    <col min="3" max="3" width="11.7109375" style="40" bestFit="1" customWidth="1"/>
    <col min="4" max="4" width="9.5703125" style="40" bestFit="1" customWidth="1"/>
    <col min="5" max="5" width="12.5703125" style="40" bestFit="1" customWidth="1"/>
    <col min="6" max="6" width="12.42578125" style="40" customWidth="1"/>
    <col min="7" max="9" width="7.7109375" style="40" customWidth="1"/>
    <col min="10" max="10" width="12.5703125" style="40" bestFit="1" customWidth="1"/>
    <col min="11" max="12" width="10.28515625" style="40" customWidth="1"/>
    <col min="13" max="256" width="9.140625" style="40"/>
    <col min="257" max="257" width="9.28515625" style="40" customWidth="1"/>
    <col min="258" max="258" width="7.7109375" style="40" customWidth="1"/>
    <col min="259" max="259" width="10.140625" style="40" bestFit="1" customWidth="1"/>
    <col min="260" max="260" width="7.7109375" style="40" customWidth="1"/>
    <col min="261" max="261" width="10.42578125" style="40" customWidth="1"/>
    <col min="262" max="262" width="10" style="40" customWidth="1"/>
    <col min="263" max="266" width="7.7109375" style="40" customWidth="1"/>
    <col min="267" max="268" width="10.28515625" style="40" customWidth="1"/>
    <col min="269" max="512" width="9.140625" style="40"/>
    <col min="513" max="513" width="9.28515625" style="40" customWidth="1"/>
    <col min="514" max="514" width="7.7109375" style="40" customWidth="1"/>
    <col min="515" max="515" width="10.140625" style="40" bestFit="1" customWidth="1"/>
    <col min="516" max="516" width="7.7109375" style="40" customWidth="1"/>
    <col min="517" max="517" width="10.42578125" style="40" customWidth="1"/>
    <col min="518" max="518" width="10" style="40" customWidth="1"/>
    <col min="519" max="522" width="7.7109375" style="40" customWidth="1"/>
    <col min="523" max="524" width="10.28515625" style="40" customWidth="1"/>
    <col min="525" max="768" width="9.140625" style="40"/>
    <col min="769" max="769" width="9.28515625" style="40" customWidth="1"/>
    <col min="770" max="770" width="7.7109375" style="40" customWidth="1"/>
    <col min="771" max="771" width="10.140625" style="40" bestFit="1" customWidth="1"/>
    <col min="772" max="772" width="7.7109375" style="40" customWidth="1"/>
    <col min="773" max="773" width="10.42578125" style="40" customWidth="1"/>
    <col min="774" max="774" width="10" style="40" customWidth="1"/>
    <col min="775" max="778" width="7.7109375" style="40" customWidth="1"/>
    <col min="779" max="780" width="10.28515625" style="40" customWidth="1"/>
    <col min="781" max="1024" width="9.140625" style="40"/>
    <col min="1025" max="1025" width="9.28515625" style="40" customWidth="1"/>
    <col min="1026" max="1026" width="7.7109375" style="40" customWidth="1"/>
    <col min="1027" max="1027" width="10.140625" style="40" bestFit="1" customWidth="1"/>
    <col min="1028" max="1028" width="7.7109375" style="40" customWidth="1"/>
    <col min="1029" max="1029" width="10.42578125" style="40" customWidth="1"/>
    <col min="1030" max="1030" width="10" style="40" customWidth="1"/>
    <col min="1031" max="1034" width="7.7109375" style="40" customWidth="1"/>
    <col min="1035" max="1036" width="10.28515625" style="40" customWidth="1"/>
    <col min="1037" max="1280" width="9.140625" style="40"/>
    <col min="1281" max="1281" width="9.28515625" style="40" customWidth="1"/>
    <col min="1282" max="1282" width="7.7109375" style="40" customWidth="1"/>
    <col min="1283" max="1283" width="10.140625" style="40" bestFit="1" customWidth="1"/>
    <col min="1284" max="1284" width="7.7109375" style="40" customWidth="1"/>
    <col min="1285" max="1285" width="10.42578125" style="40" customWidth="1"/>
    <col min="1286" max="1286" width="10" style="40" customWidth="1"/>
    <col min="1287" max="1290" width="7.7109375" style="40" customWidth="1"/>
    <col min="1291" max="1292" width="10.28515625" style="40" customWidth="1"/>
    <col min="1293" max="1536" width="9.140625" style="40"/>
    <col min="1537" max="1537" width="9.28515625" style="40" customWidth="1"/>
    <col min="1538" max="1538" width="7.7109375" style="40" customWidth="1"/>
    <col min="1539" max="1539" width="10.140625" style="40" bestFit="1" customWidth="1"/>
    <col min="1540" max="1540" width="7.7109375" style="40" customWidth="1"/>
    <col min="1541" max="1541" width="10.42578125" style="40" customWidth="1"/>
    <col min="1542" max="1542" width="10" style="40" customWidth="1"/>
    <col min="1543" max="1546" width="7.7109375" style="40" customWidth="1"/>
    <col min="1547" max="1548" width="10.28515625" style="40" customWidth="1"/>
    <col min="1549" max="1792" width="9.140625" style="40"/>
    <col min="1793" max="1793" width="9.28515625" style="40" customWidth="1"/>
    <col min="1794" max="1794" width="7.7109375" style="40" customWidth="1"/>
    <col min="1795" max="1795" width="10.140625" style="40" bestFit="1" customWidth="1"/>
    <col min="1796" max="1796" width="7.7109375" style="40" customWidth="1"/>
    <col min="1797" max="1797" width="10.42578125" style="40" customWidth="1"/>
    <col min="1798" max="1798" width="10" style="40" customWidth="1"/>
    <col min="1799" max="1802" width="7.7109375" style="40" customWidth="1"/>
    <col min="1803" max="1804" width="10.28515625" style="40" customWidth="1"/>
    <col min="1805" max="2048" width="9.140625" style="40"/>
    <col min="2049" max="2049" width="9.28515625" style="40" customWidth="1"/>
    <col min="2050" max="2050" width="7.7109375" style="40" customWidth="1"/>
    <col min="2051" max="2051" width="10.140625" style="40" bestFit="1" customWidth="1"/>
    <col min="2052" max="2052" width="7.7109375" style="40" customWidth="1"/>
    <col min="2053" max="2053" width="10.42578125" style="40" customWidth="1"/>
    <col min="2054" max="2054" width="10" style="40" customWidth="1"/>
    <col min="2055" max="2058" width="7.7109375" style="40" customWidth="1"/>
    <col min="2059" max="2060" width="10.28515625" style="40" customWidth="1"/>
    <col min="2061" max="2304" width="9.140625" style="40"/>
    <col min="2305" max="2305" width="9.28515625" style="40" customWidth="1"/>
    <col min="2306" max="2306" width="7.7109375" style="40" customWidth="1"/>
    <col min="2307" max="2307" width="10.140625" style="40" bestFit="1" customWidth="1"/>
    <col min="2308" max="2308" width="7.7109375" style="40" customWidth="1"/>
    <col min="2309" max="2309" width="10.42578125" style="40" customWidth="1"/>
    <col min="2310" max="2310" width="10" style="40" customWidth="1"/>
    <col min="2311" max="2314" width="7.7109375" style="40" customWidth="1"/>
    <col min="2315" max="2316" width="10.28515625" style="40" customWidth="1"/>
    <col min="2317" max="2560" width="9.140625" style="40"/>
    <col min="2561" max="2561" width="9.28515625" style="40" customWidth="1"/>
    <col min="2562" max="2562" width="7.7109375" style="40" customWidth="1"/>
    <col min="2563" max="2563" width="10.140625" style="40" bestFit="1" customWidth="1"/>
    <col min="2564" max="2564" width="7.7109375" style="40" customWidth="1"/>
    <col min="2565" max="2565" width="10.42578125" style="40" customWidth="1"/>
    <col min="2566" max="2566" width="10" style="40" customWidth="1"/>
    <col min="2567" max="2570" width="7.7109375" style="40" customWidth="1"/>
    <col min="2571" max="2572" width="10.28515625" style="40" customWidth="1"/>
    <col min="2573" max="2816" width="9.140625" style="40"/>
    <col min="2817" max="2817" width="9.28515625" style="40" customWidth="1"/>
    <col min="2818" max="2818" width="7.7109375" style="40" customWidth="1"/>
    <col min="2819" max="2819" width="10.140625" style="40" bestFit="1" customWidth="1"/>
    <col min="2820" max="2820" width="7.7109375" style="40" customWidth="1"/>
    <col min="2821" max="2821" width="10.42578125" style="40" customWidth="1"/>
    <col min="2822" max="2822" width="10" style="40" customWidth="1"/>
    <col min="2823" max="2826" width="7.7109375" style="40" customWidth="1"/>
    <col min="2827" max="2828" width="10.28515625" style="40" customWidth="1"/>
    <col min="2829" max="3072" width="9.140625" style="40"/>
    <col min="3073" max="3073" width="9.28515625" style="40" customWidth="1"/>
    <col min="3074" max="3074" width="7.7109375" style="40" customWidth="1"/>
    <col min="3075" max="3075" width="10.140625" style="40" bestFit="1" customWidth="1"/>
    <col min="3076" max="3076" width="7.7109375" style="40" customWidth="1"/>
    <col min="3077" max="3077" width="10.42578125" style="40" customWidth="1"/>
    <col min="3078" max="3078" width="10" style="40" customWidth="1"/>
    <col min="3079" max="3082" width="7.7109375" style="40" customWidth="1"/>
    <col min="3083" max="3084" width="10.28515625" style="40" customWidth="1"/>
    <col min="3085" max="3328" width="9.140625" style="40"/>
    <col min="3329" max="3329" width="9.28515625" style="40" customWidth="1"/>
    <col min="3330" max="3330" width="7.7109375" style="40" customWidth="1"/>
    <col min="3331" max="3331" width="10.140625" style="40" bestFit="1" customWidth="1"/>
    <col min="3332" max="3332" width="7.7109375" style="40" customWidth="1"/>
    <col min="3333" max="3333" width="10.42578125" style="40" customWidth="1"/>
    <col min="3334" max="3334" width="10" style="40" customWidth="1"/>
    <col min="3335" max="3338" width="7.7109375" style="40" customWidth="1"/>
    <col min="3339" max="3340" width="10.28515625" style="40" customWidth="1"/>
    <col min="3341" max="3584" width="9.140625" style="40"/>
    <col min="3585" max="3585" width="9.28515625" style="40" customWidth="1"/>
    <col min="3586" max="3586" width="7.7109375" style="40" customWidth="1"/>
    <col min="3587" max="3587" width="10.140625" style="40" bestFit="1" customWidth="1"/>
    <col min="3588" max="3588" width="7.7109375" style="40" customWidth="1"/>
    <col min="3589" max="3589" width="10.42578125" style="40" customWidth="1"/>
    <col min="3590" max="3590" width="10" style="40" customWidth="1"/>
    <col min="3591" max="3594" width="7.7109375" style="40" customWidth="1"/>
    <col min="3595" max="3596" width="10.28515625" style="40" customWidth="1"/>
    <col min="3597" max="3840" width="9.140625" style="40"/>
    <col min="3841" max="3841" width="9.28515625" style="40" customWidth="1"/>
    <col min="3842" max="3842" width="7.7109375" style="40" customWidth="1"/>
    <col min="3843" max="3843" width="10.140625" style="40" bestFit="1" customWidth="1"/>
    <col min="3844" max="3844" width="7.7109375" style="40" customWidth="1"/>
    <col min="3845" max="3845" width="10.42578125" style="40" customWidth="1"/>
    <col min="3846" max="3846" width="10" style="40" customWidth="1"/>
    <col min="3847" max="3850" width="7.7109375" style="40" customWidth="1"/>
    <col min="3851" max="3852" width="10.28515625" style="40" customWidth="1"/>
    <col min="3853" max="4096" width="9.140625" style="40"/>
    <col min="4097" max="4097" width="9.28515625" style="40" customWidth="1"/>
    <col min="4098" max="4098" width="7.7109375" style="40" customWidth="1"/>
    <col min="4099" max="4099" width="10.140625" style="40" bestFit="1" customWidth="1"/>
    <col min="4100" max="4100" width="7.7109375" style="40" customWidth="1"/>
    <col min="4101" max="4101" width="10.42578125" style="40" customWidth="1"/>
    <col min="4102" max="4102" width="10" style="40" customWidth="1"/>
    <col min="4103" max="4106" width="7.7109375" style="40" customWidth="1"/>
    <col min="4107" max="4108" width="10.28515625" style="40" customWidth="1"/>
    <col min="4109" max="4352" width="9.140625" style="40"/>
    <col min="4353" max="4353" width="9.28515625" style="40" customWidth="1"/>
    <col min="4354" max="4354" width="7.7109375" style="40" customWidth="1"/>
    <col min="4355" max="4355" width="10.140625" style="40" bestFit="1" customWidth="1"/>
    <col min="4356" max="4356" width="7.7109375" style="40" customWidth="1"/>
    <col min="4357" max="4357" width="10.42578125" style="40" customWidth="1"/>
    <col min="4358" max="4358" width="10" style="40" customWidth="1"/>
    <col min="4359" max="4362" width="7.7109375" style="40" customWidth="1"/>
    <col min="4363" max="4364" width="10.28515625" style="40" customWidth="1"/>
    <col min="4365" max="4608" width="9.140625" style="40"/>
    <col min="4609" max="4609" width="9.28515625" style="40" customWidth="1"/>
    <col min="4610" max="4610" width="7.7109375" style="40" customWidth="1"/>
    <col min="4611" max="4611" width="10.140625" style="40" bestFit="1" customWidth="1"/>
    <col min="4612" max="4612" width="7.7109375" style="40" customWidth="1"/>
    <col min="4613" max="4613" width="10.42578125" style="40" customWidth="1"/>
    <col min="4614" max="4614" width="10" style="40" customWidth="1"/>
    <col min="4615" max="4618" width="7.7109375" style="40" customWidth="1"/>
    <col min="4619" max="4620" width="10.28515625" style="40" customWidth="1"/>
    <col min="4621" max="4864" width="9.140625" style="40"/>
    <col min="4865" max="4865" width="9.28515625" style="40" customWidth="1"/>
    <col min="4866" max="4866" width="7.7109375" style="40" customWidth="1"/>
    <col min="4867" max="4867" width="10.140625" style="40" bestFit="1" customWidth="1"/>
    <col min="4868" max="4868" width="7.7109375" style="40" customWidth="1"/>
    <col min="4869" max="4869" width="10.42578125" style="40" customWidth="1"/>
    <col min="4870" max="4870" width="10" style="40" customWidth="1"/>
    <col min="4871" max="4874" width="7.7109375" style="40" customWidth="1"/>
    <col min="4875" max="4876" width="10.28515625" style="40" customWidth="1"/>
    <col min="4877" max="5120" width="9.140625" style="40"/>
    <col min="5121" max="5121" width="9.28515625" style="40" customWidth="1"/>
    <col min="5122" max="5122" width="7.7109375" style="40" customWidth="1"/>
    <col min="5123" max="5123" width="10.140625" style="40" bestFit="1" customWidth="1"/>
    <col min="5124" max="5124" width="7.7109375" style="40" customWidth="1"/>
    <col min="5125" max="5125" width="10.42578125" style="40" customWidth="1"/>
    <col min="5126" max="5126" width="10" style="40" customWidth="1"/>
    <col min="5127" max="5130" width="7.7109375" style="40" customWidth="1"/>
    <col min="5131" max="5132" width="10.28515625" style="40" customWidth="1"/>
    <col min="5133" max="5376" width="9.140625" style="40"/>
    <col min="5377" max="5377" width="9.28515625" style="40" customWidth="1"/>
    <col min="5378" max="5378" width="7.7109375" style="40" customWidth="1"/>
    <col min="5379" max="5379" width="10.140625" style="40" bestFit="1" customWidth="1"/>
    <col min="5380" max="5380" width="7.7109375" style="40" customWidth="1"/>
    <col min="5381" max="5381" width="10.42578125" style="40" customWidth="1"/>
    <col min="5382" max="5382" width="10" style="40" customWidth="1"/>
    <col min="5383" max="5386" width="7.7109375" style="40" customWidth="1"/>
    <col min="5387" max="5388" width="10.28515625" style="40" customWidth="1"/>
    <col min="5389" max="5632" width="9.140625" style="40"/>
    <col min="5633" max="5633" width="9.28515625" style="40" customWidth="1"/>
    <col min="5634" max="5634" width="7.7109375" style="40" customWidth="1"/>
    <col min="5635" max="5635" width="10.140625" style="40" bestFit="1" customWidth="1"/>
    <col min="5636" max="5636" width="7.7109375" style="40" customWidth="1"/>
    <col min="5637" max="5637" width="10.42578125" style="40" customWidth="1"/>
    <col min="5638" max="5638" width="10" style="40" customWidth="1"/>
    <col min="5639" max="5642" width="7.7109375" style="40" customWidth="1"/>
    <col min="5643" max="5644" width="10.28515625" style="40" customWidth="1"/>
    <col min="5645" max="5888" width="9.140625" style="40"/>
    <col min="5889" max="5889" width="9.28515625" style="40" customWidth="1"/>
    <col min="5890" max="5890" width="7.7109375" style="40" customWidth="1"/>
    <col min="5891" max="5891" width="10.140625" style="40" bestFit="1" customWidth="1"/>
    <col min="5892" max="5892" width="7.7109375" style="40" customWidth="1"/>
    <col min="5893" max="5893" width="10.42578125" style="40" customWidth="1"/>
    <col min="5894" max="5894" width="10" style="40" customWidth="1"/>
    <col min="5895" max="5898" width="7.7109375" style="40" customWidth="1"/>
    <col min="5899" max="5900" width="10.28515625" style="40" customWidth="1"/>
    <col min="5901" max="6144" width="9.140625" style="40"/>
    <col min="6145" max="6145" width="9.28515625" style="40" customWidth="1"/>
    <col min="6146" max="6146" width="7.7109375" style="40" customWidth="1"/>
    <col min="6147" max="6147" width="10.140625" style="40" bestFit="1" customWidth="1"/>
    <col min="6148" max="6148" width="7.7109375" style="40" customWidth="1"/>
    <col min="6149" max="6149" width="10.42578125" style="40" customWidth="1"/>
    <col min="6150" max="6150" width="10" style="40" customWidth="1"/>
    <col min="6151" max="6154" width="7.7109375" style="40" customWidth="1"/>
    <col min="6155" max="6156" width="10.28515625" style="40" customWidth="1"/>
    <col min="6157" max="6400" width="9.140625" style="40"/>
    <col min="6401" max="6401" width="9.28515625" style="40" customWidth="1"/>
    <col min="6402" max="6402" width="7.7109375" style="40" customWidth="1"/>
    <col min="6403" max="6403" width="10.140625" style="40" bestFit="1" customWidth="1"/>
    <col min="6404" max="6404" width="7.7109375" style="40" customWidth="1"/>
    <col min="6405" max="6405" width="10.42578125" style="40" customWidth="1"/>
    <col min="6406" max="6406" width="10" style="40" customWidth="1"/>
    <col min="6407" max="6410" width="7.7109375" style="40" customWidth="1"/>
    <col min="6411" max="6412" width="10.28515625" style="40" customWidth="1"/>
    <col min="6413" max="6656" width="9.140625" style="40"/>
    <col min="6657" max="6657" width="9.28515625" style="40" customWidth="1"/>
    <col min="6658" max="6658" width="7.7109375" style="40" customWidth="1"/>
    <col min="6659" max="6659" width="10.140625" style="40" bestFit="1" customWidth="1"/>
    <col min="6660" max="6660" width="7.7109375" style="40" customWidth="1"/>
    <col min="6661" max="6661" width="10.42578125" style="40" customWidth="1"/>
    <col min="6662" max="6662" width="10" style="40" customWidth="1"/>
    <col min="6663" max="6666" width="7.7109375" style="40" customWidth="1"/>
    <col min="6667" max="6668" width="10.28515625" style="40" customWidth="1"/>
    <col min="6669" max="6912" width="9.140625" style="40"/>
    <col min="6913" max="6913" width="9.28515625" style="40" customWidth="1"/>
    <col min="6914" max="6914" width="7.7109375" style="40" customWidth="1"/>
    <col min="6915" max="6915" width="10.140625" style="40" bestFit="1" customWidth="1"/>
    <col min="6916" max="6916" width="7.7109375" style="40" customWidth="1"/>
    <col min="6917" max="6917" width="10.42578125" style="40" customWidth="1"/>
    <col min="6918" max="6918" width="10" style="40" customWidth="1"/>
    <col min="6919" max="6922" width="7.7109375" style="40" customWidth="1"/>
    <col min="6923" max="6924" width="10.28515625" style="40" customWidth="1"/>
    <col min="6925" max="7168" width="9.140625" style="40"/>
    <col min="7169" max="7169" width="9.28515625" style="40" customWidth="1"/>
    <col min="7170" max="7170" width="7.7109375" style="40" customWidth="1"/>
    <col min="7171" max="7171" width="10.140625" style="40" bestFit="1" customWidth="1"/>
    <col min="7172" max="7172" width="7.7109375" style="40" customWidth="1"/>
    <col min="7173" max="7173" width="10.42578125" style="40" customWidth="1"/>
    <col min="7174" max="7174" width="10" style="40" customWidth="1"/>
    <col min="7175" max="7178" width="7.7109375" style="40" customWidth="1"/>
    <col min="7179" max="7180" width="10.28515625" style="40" customWidth="1"/>
    <col min="7181" max="7424" width="9.140625" style="40"/>
    <col min="7425" max="7425" width="9.28515625" style="40" customWidth="1"/>
    <col min="7426" max="7426" width="7.7109375" style="40" customWidth="1"/>
    <col min="7427" max="7427" width="10.140625" style="40" bestFit="1" customWidth="1"/>
    <col min="7428" max="7428" width="7.7109375" style="40" customWidth="1"/>
    <col min="7429" max="7429" width="10.42578125" style="40" customWidth="1"/>
    <col min="7430" max="7430" width="10" style="40" customWidth="1"/>
    <col min="7431" max="7434" width="7.7109375" style="40" customWidth="1"/>
    <col min="7435" max="7436" width="10.28515625" style="40" customWidth="1"/>
    <col min="7437" max="7680" width="9.140625" style="40"/>
    <col min="7681" max="7681" width="9.28515625" style="40" customWidth="1"/>
    <col min="7682" max="7682" width="7.7109375" style="40" customWidth="1"/>
    <col min="7683" max="7683" width="10.140625" style="40" bestFit="1" customWidth="1"/>
    <col min="7684" max="7684" width="7.7109375" style="40" customWidth="1"/>
    <col min="7685" max="7685" width="10.42578125" style="40" customWidth="1"/>
    <col min="7686" max="7686" width="10" style="40" customWidth="1"/>
    <col min="7687" max="7690" width="7.7109375" style="40" customWidth="1"/>
    <col min="7691" max="7692" width="10.28515625" style="40" customWidth="1"/>
    <col min="7693" max="7936" width="9.140625" style="40"/>
    <col min="7937" max="7937" width="9.28515625" style="40" customWidth="1"/>
    <col min="7938" max="7938" width="7.7109375" style="40" customWidth="1"/>
    <col min="7939" max="7939" width="10.140625" style="40" bestFit="1" customWidth="1"/>
    <col min="7940" max="7940" width="7.7109375" style="40" customWidth="1"/>
    <col min="7941" max="7941" width="10.42578125" style="40" customWidth="1"/>
    <col min="7942" max="7942" width="10" style="40" customWidth="1"/>
    <col min="7943" max="7946" width="7.7109375" style="40" customWidth="1"/>
    <col min="7947" max="7948" width="10.28515625" style="40" customWidth="1"/>
    <col min="7949" max="8192" width="9.140625" style="40"/>
    <col min="8193" max="8193" width="9.28515625" style="40" customWidth="1"/>
    <col min="8194" max="8194" width="7.7109375" style="40" customWidth="1"/>
    <col min="8195" max="8195" width="10.140625" style="40" bestFit="1" customWidth="1"/>
    <col min="8196" max="8196" width="7.7109375" style="40" customWidth="1"/>
    <col min="8197" max="8197" width="10.42578125" style="40" customWidth="1"/>
    <col min="8198" max="8198" width="10" style="40" customWidth="1"/>
    <col min="8199" max="8202" width="7.7109375" style="40" customWidth="1"/>
    <col min="8203" max="8204" width="10.28515625" style="40" customWidth="1"/>
    <col min="8205" max="8448" width="9.140625" style="40"/>
    <col min="8449" max="8449" width="9.28515625" style="40" customWidth="1"/>
    <col min="8450" max="8450" width="7.7109375" style="40" customWidth="1"/>
    <col min="8451" max="8451" width="10.140625" style="40" bestFit="1" customWidth="1"/>
    <col min="8452" max="8452" width="7.7109375" style="40" customWidth="1"/>
    <col min="8453" max="8453" width="10.42578125" style="40" customWidth="1"/>
    <col min="8454" max="8454" width="10" style="40" customWidth="1"/>
    <col min="8455" max="8458" width="7.7109375" style="40" customWidth="1"/>
    <col min="8459" max="8460" width="10.28515625" style="40" customWidth="1"/>
    <col min="8461" max="8704" width="9.140625" style="40"/>
    <col min="8705" max="8705" width="9.28515625" style="40" customWidth="1"/>
    <col min="8706" max="8706" width="7.7109375" style="40" customWidth="1"/>
    <col min="8707" max="8707" width="10.140625" style="40" bestFit="1" customWidth="1"/>
    <col min="8708" max="8708" width="7.7109375" style="40" customWidth="1"/>
    <col min="8709" max="8709" width="10.42578125" style="40" customWidth="1"/>
    <col min="8710" max="8710" width="10" style="40" customWidth="1"/>
    <col min="8711" max="8714" width="7.7109375" style="40" customWidth="1"/>
    <col min="8715" max="8716" width="10.28515625" style="40" customWidth="1"/>
    <col min="8717" max="8960" width="9.140625" style="40"/>
    <col min="8961" max="8961" width="9.28515625" style="40" customWidth="1"/>
    <col min="8962" max="8962" width="7.7109375" style="40" customWidth="1"/>
    <col min="8963" max="8963" width="10.140625" style="40" bestFit="1" customWidth="1"/>
    <col min="8964" max="8964" width="7.7109375" style="40" customWidth="1"/>
    <col min="8965" max="8965" width="10.42578125" style="40" customWidth="1"/>
    <col min="8966" max="8966" width="10" style="40" customWidth="1"/>
    <col min="8967" max="8970" width="7.7109375" style="40" customWidth="1"/>
    <col min="8971" max="8972" width="10.28515625" style="40" customWidth="1"/>
    <col min="8973" max="9216" width="9.140625" style="40"/>
    <col min="9217" max="9217" width="9.28515625" style="40" customWidth="1"/>
    <col min="9218" max="9218" width="7.7109375" style="40" customWidth="1"/>
    <col min="9219" max="9219" width="10.140625" style="40" bestFit="1" customWidth="1"/>
    <col min="9220" max="9220" width="7.7109375" style="40" customWidth="1"/>
    <col min="9221" max="9221" width="10.42578125" style="40" customWidth="1"/>
    <col min="9222" max="9222" width="10" style="40" customWidth="1"/>
    <col min="9223" max="9226" width="7.7109375" style="40" customWidth="1"/>
    <col min="9227" max="9228" width="10.28515625" style="40" customWidth="1"/>
    <col min="9229" max="9472" width="9.140625" style="40"/>
    <col min="9473" max="9473" width="9.28515625" style="40" customWidth="1"/>
    <col min="9474" max="9474" width="7.7109375" style="40" customWidth="1"/>
    <col min="9475" max="9475" width="10.140625" style="40" bestFit="1" customWidth="1"/>
    <col min="9476" max="9476" width="7.7109375" style="40" customWidth="1"/>
    <col min="9477" max="9477" width="10.42578125" style="40" customWidth="1"/>
    <col min="9478" max="9478" width="10" style="40" customWidth="1"/>
    <col min="9479" max="9482" width="7.7109375" style="40" customWidth="1"/>
    <col min="9483" max="9484" width="10.28515625" style="40" customWidth="1"/>
    <col min="9485" max="9728" width="9.140625" style="40"/>
    <col min="9729" max="9729" width="9.28515625" style="40" customWidth="1"/>
    <col min="9730" max="9730" width="7.7109375" style="40" customWidth="1"/>
    <col min="9731" max="9731" width="10.140625" style="40" bestFit="1" customWidth="1"/>
    <col min="9732" max="9732" width="7.7109375" style="40" customWidth="1"/>
    <col min="9733" max="9733" width="10.42578125" style="40" customWidth="1"/>
    <col min="9734" max="9734" width="10" style="40" customWidth="1"/>
    <col min="9735" max="9738" width="7.7109375" style="40" customWidth="1"/>
    <col min="9739" max="9740" width="10.28515625" style="40" customWidth="1"/>
    <col min="9741" max="9984" width="9.140625" style="40"/>
    <col min="9985" max="9985" width="9.28515625" style="40" customWidth="1"/>
    <col min="9986" max="9986" width="7.7109375" style="40" customWidth="1"/>
    <col min="9987" max="9987" width="10.140625" style="40" bestFit="1" customWidth="1"/>
    <col min="9988" max="9988" width="7.7109375" style="40" customWidth="1"/>
    <col min="9989" max="9989" width="10.42578125" style="40" customWidth="1"/>
    <col min="9990" max="9990" width="10" style="40" customWidth="1"/>
    <col min="9991" max="9994" width="7.7109375" style="40" customWidth="1"/>
    <col min="9995" max="9996" width="10.28515625" style="40" customWidth="1"/>
    <col min="9997" max="10240" width="9.140625" style="40"/>
    <col min="10241" max="10241" width="9.28515625" style="40" customWidth="1"/>
    <col min="10242" max="10242" width="7.7109375" style="40" customWidth="1"/>
    <col min="10243" max="10243" width="10.140625" style="40" bestFit="1" customWidth="1"/>
    <col min="10244" max="10244" width="7.7109375" style="40" customWidth="1"/>
    <col min="10245" max="10245" width="10.42578125" style="40" customWidth="1"/>
    <col min="10246" max="10246" width="10" style="40" customWidth="1"/>
    <col min="10247" max="10250" width="7.7109375" style="40" customWidth="1"/>
    <col min="10251" max="10252" width="10.28515625" style="40" customWidth="1"/>
    <col min="10253" max="10496" width="9.140625" style="40"/>
    <col min="10497" max="10497" width="9.28515625" style="40" customWidth="1"/>
    <col min="10498" max="10498" width="7.7109375" style="40" customWidth="1"/>
    <col min="10499" max="10499" width="10.140625" style="40" bestFit="1" customWidth="1"/>
    <col min="10500" max="10500" width="7.7109375" style="40" customWidth="1"/>
    <col min="10501" max="10501" width="10.42578125" style="40" customWidth="1"/>
    <col min="10502" max="10502" width="10" style="40" customWidth="1"/>
    <col min="10503" max="10506" width="7.7109375" style="40" customWidth="1"/>
    <col min="10507" max="10508" width="10.28515625" style="40" customWidth="1"/>
    <col min="10509" max="10752" width="9.140625" style="40"/>
    <col min="10753" max="10753" width="9.28515625" style="40" customWidth="1"/>
    <col min="10754" max="10754" width="7.7109375" style="40" customWidth="1"/>
    <col min="10755" max="10755" width="10.140625" style="40" bestFit="1" customWidth="1"/>
    <col min="10756" max="10756" width="7.7109375" style="40" customWidth="1"/>
    <col min="10757" max="10757" width="10.42578125" style="40" customWidth="1"/>
    <col min="10758" max="10758" width="10" style="40" customWidth="1"/>
    <col min="10759" max="10762" width="7.7109375" style="40" customWidth="1"/>
    <col min="10763" max="10764" width="10.28515625" style="40" customWidth="1"/>
    <col min="10765" max="11008" width="9.140625" style="40"/>
    <col min="11009" max="11009" width="9.28515625" style="40" customWidth="1"/>
    <col min="11010" max="11010" width="7.7109375" style="40" customWidth="1"/>
    <col min="11011" max="11011" width="10.140625" style="40" bestFit="1" customWidth="1"/>
    <col min="11012" max="11012" width="7.7109375" style="40" customWidth="1"/>
    <col min="11013" max="11013" width="10.42578125" style="40" customWidth="1"/>
    <col min="11014" max="11014" width="10" style="40" customWidth="1"/>
    <col min="11015" max="11018" width="7.7109375" style="40" customWidth="1"/>
    <col min="11019" max="11020" width="10.28515625" style="40" customWidth="1"/>
    <col min="11021" max="11264" width="9.140625" style="40"/>
    <col min="11265" max="11265" width="9.28515625" style="40" customWidth="1"/>
    <col min="11266" max="11266" width="7.7109375" style="40" customWidth="1"/>
    <col min="11267" max="11267" width="10.140625" style="40" bestFit="1" customWidth="1"/>
    <col min="11268" max="11268" width="7.7109375" style="40" customWidth="1"/>
    <col min="11269" max="11269" width="10.42578125" style="40" customWidth="1"/>
    <col min="11270" max="11270" width="10" style="40" customWidth="1"/>
    <col min="11271" max="11274" width="7.7109375" style="40" customWidth="1"/>
    <col min="11275" max="11276" width="10.28515625" style="40" customWidth="1"/>
    <col min="11277" max="11520" width="9.140625" style="40"/>
    <col min="11521" max="11521" width="9.28515625" style="40" customWidth="1"/>
    <col min="11522" max="11522" width="7.7109375" style="40" customWidth="1"/>
    <col min="11523" max="11523" width="10.140625" style="40" bestFit="1" customWidth="1"/>
    <col min="11524" max="11524" width="7.7109375" style="40" customWidth="1"/>
    <col min="11525" max="11525" width="10.42578125" style="40" customWidth="1"/>
    <col min="11526" max="11526" width="10" style="40" customWidth="1"/>
    <col min="11527" max="11530" width="7.7109375" style="40" customWidth="1"/>
    <col min="11531" max="11532" width="10.28515625" style="40" customWidth="1"/>
    <col min="11533" max="11776" width="9.140625" style="40"/>
    <col min="11777" max="11777" width="9.28515625" style="40" customWidth="1"/>
    <col min="11778" max="11778" width="7.7109375" style="40" customWidth="1"/>
    <col min="11779" max="11779" width="10.140625" style="40" bestFit="1" customWidth="1"/>
    <col min="11780" max="11780" width="7.7109375" style="40" customWidth="1"/>
    <col min="11781" max="11781" width="10.42578125" style="40" customWidth="1"/>
    <col min="11782" max="11782" width="10" style="40" customWidth="1"/>
    <col min="11783" max="11786" width="7.7109375" style="40" customWidth="1"/>
    <col min="11787" max="11788" width="10.28515625" style="40" customWidth="1"/>
    <col min="11789" max="12032" width="9.140625" style="40"/>
    <col min="12033" max="12033" width="9.28515625" style="40" customWidth="1"/>
    <col min="12034" max="12034" width="7.7109375" style="40" customWidth="1"/>
    <col min="12035" max="12035" width="10.140625" style="40" bestFit="1" customWidth="1"/>
    <col min="12036" max="12036" width="7.7109375" style="40" customWidth="1"/>
    <col min="12037" max="12037" width="10.42578125" style="40" customWidth="1"/>
    <col min="12038" max="12038" width="10" style="40" customWidth="1"/>
    <col min="12039" max="12042" width="7.7109375" style="40" customWidth="1"/>
    <col min="12043" max="12044" width="10.28515625" style="40" customWidth="1"/>
    <col min="12045" max="12288" width="9.140625" style="40"/>
    <col min="12289" max="12289" width="9.28515625" style="40" customWidth="1"/>
    <col min="12290" max="12290" width="7.7109375" style="40" customWidth="1"/>
    <col min="12291" max="12291" width="10.140625" style="40" bestFit="1" customWidth="1"/>
    <col min="12292" max="12292" width="7.7109375" style="40" customWidth="1"/>
    <col min="12293" max="12293" width="10.42578125" style="40" customWidth="1"/>
    <col min="12294" max="12294" width="10" style="40" customWidth="1"/>
    <col min="12295" max="12298" width="7.7109375" style="40" customWidth="1"/>
    <col min="12299" max="12300" width="10.28515625" style="40" customWidth="1"/>
    <col min="12301" max="12544" width="9.140625" style="40"/>
    <col min="12545" max="12545" width="9.28515625" style="40" customWidth="1"/>
    <col min="12546" max="12546" width="7.7109375" style="40" customWidth="1"/>
    <col min="12547" max="12547" width="10.140625" style="40" bestFit="1" customWidth="1"/>
    <col min="12548" max="12548" width="7.7109375" style="40" customWidth="1"/>
    <col min="12549" max="12549" width="10.42578125" style="40" customWidth="1"/>
    <col min="12550" max="12550" width="10" style="40" customWidth="1"/>
    <col min="12551" max="12554" width="7.7109375" style="40" customWidth="1"/>
    <col min="12555" max="12556" width="10.28515625" style="40" customWidth="1"/>
    <col min="12557" max="12800" width="9.140625" style="40"/>
    <col min="12801" max="12801" width="9.28515625" style="40" customWidth="1"/>
    <col min="12802" max="12802" width="7.7109375" style="40" customWidth="1"/>
    <col min="12803" max="12803" width="10.140625" style="40" bestFit="1" customWidth="1"/>
    <col min="12804" max="12804" width="7.7109375" style="40" customWidth="1"/>
    <col min="12805" max="12805" width="10.42578125" style="40" customWidth="1"/>
    <col min="12806" max="12806" width="10" style="40" customWidth="1"/>
    <col min="12807" max="12810" width="7.7109375" style="40" customWidth="1"/>
    <col min="12811" max="12812" width="10.28515625" style="40" customWidth="1"/>
    <col min="12813" max="13056" width="9.140625" style="40"/>
    <col min="13057" max="13057" width="9.28515625" style="40" customWidth="1"/>
    <col min="13058" max="13058" width="7.7109375" style="40" customWidth="1"/>
    <col min="13059" max="13059" width="10.140625" style="40" bestFit="1" customWidth="1"/>
    <col min="13060" max="13060" width="7.7109375" style="40" customWidth="1"/>
    <col min="13061" max="13061" width="10.42578125" style="40" customWidth="1"/>
    <col min="13062" max="13062" width="10" style="40" customWidth="1"/>
    <col min="13063" max="13066" width="7.7109375" style="40" customWidth="1"/>
    <col min="13067" max="13068" width="10.28515625" style="40" customWidth="1"/>
    <col min="13069" max="13312" width="9.140625" style="40"/>
    <col min="13313" max="13313" width="9.28515625" style="40" customWidth="1"/>
    <col min="13314" max="13314" width="7.7109375" style="40" customWidth="1"/>
    <col min="13315" max="13315" width="10.140625" style="40" bestFit="1" customWidth="1"/>
    <col min="13316" max="13316" width="7.7109375" style="40" customWidth="1"/>
    <col min="13317" max="13317" width="10.42578125" style="40" customWidth="1"/>
    <col min="13318" max="13318" width="10" style="40" customWidth="1"/>
    <col min="13319" max="13322" width="7.7109375" style="40" customWidth="1"/>
    <col min="13323" max="13324" width="10.28515625" style="40" customWidth="1"/>
    <col min="13325" max="13568" width="9.140625" style="40"/>
    <col min="13569" max="13569" width="9.28515625" style="40" customWidth="1"/>
    <col min="13570" max="13570" width="7.7109375" style="40" customWidth="1"/>
    <col min="13571" max="13571" width="10.140625" style="40" bestFit="1" customWidth="1"/>
    <col min="13572" max="13572" width="7.7109375" style="40" customWidth="1"/>
    <col min="13573" max="13573" width="10.42578125" style="40" customWidth="1"/>
    <col min="13574" max="13574" width="10" style="40" customWidth="1"/>
    <col min="13575" max="13578" width="7.7109375" style="40" customWidth="1"/>
    <col min="13579" max="13580" width="10.28515625" style="40" customWidth="1"/>
    <col min="13581" max="13824" width="9.140625" style="40"/>
    <col min="13825" max="13825" width="9.28515625" style="40" customWidth="1"/>
    <col min="13826" max="13826" width="7.7109375" style="40" customWidth="1"/>
    <col min="13827" max="13827" width="10.140625" style="40" bestFit="1" customWidth="1"/>
    <col min="13828" max="13828" width="7.7109375" style="40" customWidth="1"/>
    <col min="13829" max="13829" width="10.42578125" style="40" customWidth="1"/>
    <col min="13830" max="13830" width="10" style="40" customWidth="1"/>
    <col min="13831" max="13834" width="7.7109375" style="40" customWidth="1"/>
    <col min="13835" max="13836" width="10.28515625" style="40" customWidth="1"/>
    <col min="13837" max="14080" width="9.140625" style="40"/>
    <col min="14081" max="14081" width="9.28515625" style="40" customWidth="1"/>
    <col min="14082" max="14082" width="7.7109375" style="40" customWidth="1"/>
    <col min="14083" max="14083" width="10.140625" style="40" bestFit="1" customWidth="1"/>
    <col min="14084" max="14084" width="7.7109375" style="40" customWidth="1"/>
    <col min="14085" max="14085" width="10.42578125" style="40" customWidth="1"/>
    <col min="14086" max="14086" width="10" style="40" customWidth="1"/>
    <col min="14087" max="14090" width="7.7109375" style="40" customWidth="1"/>
    <col min="14091" max="14092" width="10.28515625" style="40" customWidth="1"/>
    <col min="14093" max="14336" width="9.140625" style="40"/>
    <col min="14337" max="14337" width="9.28515625" style="40" customWidth="1"/>
    <col min="14338" max="14338" width="7.7109375" style="40" customWidth="1"/>
    <col min="14339" max="14339" width="10.140625" style="40" bestFit="1" customWidth="1"/>
    <col min="14340" max="14340" width="7.7109375" style="40" customWidth="1"/>
    <col min="14341" max="14341" width="10.42578125" style="40" customWidth="1"/>
    <col min="14342" max="14342" width="10" style="40" customWidth="1"/>
    <col min="14343" max="14346" width="7.7109375" style="40" customWidth="1"/>
    <col min="14347" max="14348" width="10.28515625" style="40" customWidth="1"/>
    <col min="14349" max="14592" width="9.140625" style="40"/>
    <col min="14593" max="14593" width="9.28515625" style="40" customWidth="1"/>
    <col min="14594" max="14594" width="7.7109375" style="40" customWidth="1"/>
    <col min="14595" max="14595" width="10.140625" style="40" bestFit="1" customWidth="1"/>
    <col min="14596" max="14596" width="7.7109375" style="40" customWidth="1"/>
    <col min="14597" max="14597" width="10.42578125" style="40" customWidth="1"/>
    <col min="14598" max="14598" width="10" style="40" customWidth="1"/>
    <col min="14599" max="14602" width="7.7109375" style="40" customWidth="1"/>
    <col min="14603" max="14604" width="10.28515625" style="40" customWidth="1"/>
    <col min="14605" max="14848" width="9.140625" style="40"/>
    <col min="14849" max="14849" width="9.28515625" style="40" customWidth="1"/>
    <col min="14850" max="14850" width="7.7109375" style="40" customWidth="1"/>
    <col min="14851" max="14851" width="10.140625" style="40" bestFit="1" customWidth="1"/>
    <col min="14852" max="14852" width="7.7109375" style="40" customWidth="1"/>
    <col min="14853" max="14853" width="10.42578125" style="40" customWidth="1"/>
    <col min="14854" max="14854" width="10" style="40" customWidth="1"/>
    <col min="14855" max="14858" width="7.7109375" style="40" customWidth="1"/>
    <col min="14859" max="14860" width="10.28515625" style="40" customWidth="1"/>
    <col min="14861" max="15104" width="9.140625" style="40"/>
    <col min="15105" max="15105" width="9.28515625" style="40" customWidth="1"/>
    <col min="15106" max="15106" width="7.7109375" style="40" customWidth="1"/>
    <col min="15107" max="15107" width="10.140625" style="40" bestFit="1" customWidth="1"/>
    <col min="15108" max="15108" width="7.7109375" style="40" customWidth="1"/>
    <col min="15109" max="15109" width="10.42578125" style="40" customWidth="1"/>
    <col min="15110" max="15110" width="10" style="40" customWidth="1"/>
    <col min="15111" max="15114" width="7.7109375" style="40" customWidth="1"/>
    <col min="15115" max="15116" width="10.28515625" style="40" customWidth="1"/>
    <col min="15117" max="15360" width="9.140625" style="40"/>
    <col min="15361" max="15361" width="9.28515625" style="40" customWidth="1"/>
    <col min="15362" max="15362" width="7.7109375" style="40" customWidth="1"/>
    <col min="15363" max="15363" width="10.140625" style="40" bestFit="1" customWidth="1"/>
    <col min="15364" max="15364" width="7.7109375" style="40" customWidth="1"/>
    <col min="15365" max="15365" width="10.42578125" style="40" customWidth="1"/>
    <col min="15366" max="15366" width="10" style="40" customWidth="1"/>
    <col min="15367" max="15370" width="7.7109375" style="40" customWidth="1"/>
    <col min="15371" max="15372" width="10.28515625" style="40" customWidth="1"/>
    <col min="15373" max="15616" width="9.140625" style="40"/>
    <col min="15617" max="15617" width="9.28515625" style="40" customWidth="1"/>
    <col min="15618" max="15618" width="7.7109375" style="40" customWidth="1"/>
    <col min="15619" max="15619" width="10.140625" style="40" bestFit="1" customWidth="1"/>
    <col min="15620" max="15620" width="7.7109375" style="40" customWidth="1"/>
    <col min="15621" max="15621" width="10.42578125" style="40" customWidth="1"/>
    <col min="15622" max="15622" width="10" style="40" customWidth="1"/>
    <col min="15623" max="15626" width="7.7109375" style="40" customWidth="1"/>
    <col min="15627" max="15628" width="10.28515625" style="40" customWidth="1"/>
    <col min="15629" max="15872" width="9.140625" style="40"/>
    <col min="15873" max="15873" width="9.28515625" style="40" customWidth="1"/>
    <col min="15874" max="15874" width="7.7109375" style="40" customWidth="1"/>
    <col min="15875" max="15875" width="10.140625" style="40" bestFit="1" customWidth="1"/>
    <col min="15876" max="15876" width="7.7109375" style="40" customWidth="1"/>
    <col min="15877" max="15877" width="10.42578125" style="40" customWidth="1"/>
    <col min="15878" max="15878" width="10" style="40" customWidth="1"/>
    <col min="15879" max="15882" width="7.7109375" style="40" customWidth="1"/>
    <col min="15883" max="15884" width="10.28515625" style="40" customWidth="1"/>
    <col min="15885" max="16128" width="9.140625" style="40"/>
    <col min="16129" max="16129" width="9.28515625" style="40" customWidth="1"/>
    <col min="16130" max="16130" width="7.7109375" style="40" customWidth="1"/>
    <col min="16131" max="16131" width="10.140625" style="40" bestFit="1" customWidth="1"/>
    <col min="16132" max="16132" width="7.7109375" style="40" customWidth="1"/>
    <col min="16133" max="16133" width="10.42578125" style="40" customWidth="1"/>
    <col min="16134" max="16134" width="10" style="40" customWidth="1"/>
    <col min="16135" max="16138" width="7.7109375" style="40" customWidth="1"/>
    <col min="16139" max="16140" width="10.28515625" style="40" customWidth="1"/>
    <col min="16141" max="16384" width="9.140625" style="40"/>
  </cols>
  <sheetData>
    <row r="1" spans="1:18" ht="19.5">
      <c r="A1" s="235" t="s">
        <v>214</v>
      </c>
      <c r="B1" s="280"/>
      <c r="C1" s="280"/>
      <c r="D1" s="280"/>
      <c r="E1" s="280"/>
      <c r="F1" s="280"/>
      <c r="G1" s="280"/>
      <c r="H1" s="280"/>
      <c r="I1" s="280"/>
      <c r="J1" s="236"/>
    </row>
    <row r="2" spans="1:18" ht="16.5" thickBot="1">
      <c r="A2" s="282" t="s">
        <v>238</v>
      </c>
      <c r="B2" s="283"/>
      <c r="C2" s="283"/>
      <c r="D2" s="283"/>
      <c r="E2" s="283"/>
      <c r="F2" s="283"/>
      <c r="G2" s="283"/>
      <c r="H2" s="283"/>
      <c r="I2" s="283"/>
      <c r="J2" s="284"/>
      <c r="K2" s="25"/>
      <c r="L2" s="25"/>
      <c r="M2" s="25"/>
    </row>
    <row r="3" spans="1:18" ht="15.75">
      <c r="A3" s="202"/>
      <c r="B3" s="202"/>
      <c r="C3" s="202"/>
      <c r="D3" s="202"/>
      <c r="E3" s="202"/>
      <c r="F3" s="202"/>
      <c r="G3" s="202"/>
      <c r="H3" s="202"/>
      <c r="I3" s="202"/>
      <c r="J3" s="202"/>
      <c r="K3" s="25"/>
      <c r="L3" s="25"/>
      <c r="M3" s="25"/>
    </row>
    <row r="4" spans="1:18" ht="16.5" thickBot="1">
      <c r="A4" s="25"/>
      <c r="B4" s="58" t="s">
        <v>130</v>
      </c>
      <c r="C4" s="59">
        <f ca="1">TODAY()</f>
        <v>41344</v>
      </c>
      <c r="D4" s="25"/>
      <c r="E4" s="25"/>
      <c r="F4" s="25"/>
      <c r="G4" s="25"/>
      <c r="H4" s="25"/>
      <c r="I4" s="25"/>
      <c r="J4" s="25"/>
      <c r="K4" s="57"/>
      <c r="L4" s="25"/>
      <c r="M4" s="25"/>
    </row>
    <row r="5" spans="1:18" ht="15.75">
      <c r="A5" s="25"/>
      <c r="B5" s="25"/>
      <c r="C5" s="25"/>
      <c r="D5" s="25"/>
      <c r="E5" s="25"/>
      <c r="F5" s="25"/>
      <c r="G5" s="25"/>
      <c r="H5" s="25"/>
      <c r="I5" s="25"/>
      <c r="J5" s="25"/>
      <c r="K5" s="57"/>
      <c r="L5" s="25"/>
      <c r="M5" s="218" t="s">
        <v>252</v>
      </c>
      <c r="N5" s="260"/>
      <c r="O5" s="260"/>
      <c r="P5" s="260"/>
      <c r="Q5" s="260"/>
      <c r="R5" s="261"/>
    </row>
    <row r="6" spans="1:18" ht="15.75">
      <c r="A6" s="25"/>
      <c r="B6" s="279" t="s">
        <v>131</v>
      </c>
      <c r="C6" s="279"/>
      <c r="D6" s="25"/>
      <c r="E6" s="60"/>
      <c r="F6" s="279" t="s">
        <v>177</v>
      </c>
      <c r="G6" s="279"/>
      <c r="H6" s="279"/>
      <c r="I6" s="60"/>
      <c r="J6" s="25"/>
      <c r="K6" s="57"/>
      <c r="L6" s="25"/>
      <c r="M6" s="262"/>
      <c r="N6" s="263"/>
      <c r="O6" s="263"/>
      <c r="P6" s="263"/>
      <c r="Q6" s="263"/>
      <c r="R6" s="264"/>
    </row>
    <row r="7" spans="1:18" ht="15.75">
      <c r="A7" s="25"/>
      <c r="B7" s="58" t="s">
        <v>134</v>
      </c>
      <c r="C7" s="63">
        <f>'First Page'!B13</f>
        <v>4665</v>
      </c>
      <c r="D7" s="25"/>
      <c r="E7" s="25"/>
      <c r="F7" s="25"/>
      <c r="G7" s="58" t="s">
        <v>132</v>
      </c>
      <c r="H7" s="61">
        <f>AVERAGE($I$21:$I$30)</f>
        <v>0.35424172529433195</v>
      </c>
      <c r="I7" s="25"/>
      <c r="J7" s="25"/>
      <c r="K7" s="25"/>
      <c r="L7" s="25"/>
      <c r="M7" s="262"/>
      <c r="N7" s="263"/>
      <c r="O7" s="263"/>
      <c r="P7" s="263"/>
      <c r="Q7" s="263"/>
      <c r="R7" s="264"/>
    </row>
    <row r="8" spans="1:18" ht="15.75">
      <c r="A8" s="25"/>
      <c r="B8" s="58" t="s">
        <v>136</v>
      </c>
      <c r="C8" s="63">
        <f>Ratios!K4</f>
        <v>103.07884466664576</v>
      </c>
      <c r="D8" s="25"/>
      <c r="E8" s="25"/>
      <c r="F8" s="25"/>
      <c r="G8" s="58" t="s">
        <v>133</v>
      </c>
      <c r="H8" s="61">
        <f>AVERAGE($J$21:$J$30)</f>
        <v>0.44820590001724331</v>
      </c>
      <c r="I8" s="25"/>
      <c r="J8" s="25"/>
      <c r="K8" s="25"/>
      <c r="L8" s="25"/>
      <c r="M8" s="262"/>
      <c r="N8" s="263"/>
      <c r="O8" s="263"/>
      <c r="P8" s="263"/>
      <c r="Q8" s="263"/>
      <c r="R8" s="264"/>
    </row>
    <row r="9" spans="1:18" ht="15.75">
      <c r="A9" s="25"/>
      <c r="B9" s="58" t="s">
        <v>138</v>
      </c>
      <c r="C9" s="63">
        <f>Ratios!K7</f>
        <v>40.001134698194001</v>
      </c>
      <c r="D9" s="25"/>
      <c r="E9" s="25"/>
      <c r="F9" s="25"/>
      <c r="G9" s="58" t="s">
        <v>135</v>
      </c>
      <c r="H9" s="62">
        <f>AVERAGE($G$21:$G$30)</f>
        <v>30.570567504249755</v>
      </c>
      <c r="I9" s="25"/>
      <c r="J9" s="25"/>
      <c r="K9" s="25"/>
      <c r="L9" s="25"/>
      <c r="M9" s="262"/>
      <c r="N9" s="263"/>
      <c r="O9" s="263"/>
      <c r="P9" s="263"/>
      <c r="Q9" s="263"/>
      <c r="R9" s="264"/>
    </row>
    <row r="10" spans="1:18" ht="15.75">
      <c r="A10" s="25"/>
      <c r="B10" s="58" t="s">
        <v>140</v>
      </c>
      <c r="C10" s="63">
        <f>Ratios!K5</f>
        <v>286.54152758212672</v>
      </c>
      <c r="D10" s="25"/>
      <c r="E10" s="25"/>
      <c r="F10" s="25"/>
      <c r="G10" s="58" t="s">
        <v>137</v>
      </c>
      <c r="H10" s="62">
        <f>AVERAGE($H$21:$H$30)</f>
        <v>20.2674186891145</v>
      </c>
      <c r="I10" s="25"/>
      <c r="J10" s="25"/>
      <c r="K10" s="25"/>
      <c r="L10" s="25"/>
      <c r="M10" s="262"/>
      <c r="N10" s="263"/>
      <c r="O10" s="263"/>
      <c r="P10" s="263"/>
      <c r="Q10" s="263"/>
      <c r="R10" s="264"/>
    </row>
    <row r="11" spans="1:18" ht="15.75">
      <c r="A11" s="25"/>
      <c r="B11" s="58" t="s">
        <v>142</v>
      </c>
      <c r="C11" s="63">
        <f>$C$7/$C$8</f>
        <v>45.256618999625829</v>
      </c>
      <c r="D11" s="25"/>
      <c r="E11" s="25"/>
      <c r="F11" s="25"/>
      <c r="G11" s="58" t="s">
        <v>139</v>
      </c>
      <c r="H11" s="62">
        <f>AVERAGE($H$9:$H$10)</f>
        <v>25.418993096682129</v>
      </c>
      <c r="I11" s="25"/>
      <c r="J11" s="25"/>
      <c r="K11" s="25"/>
      <c r="L11" s="25"/>
      <c r="M11" s="262"/>
      <c r="N11" s="263"/>
      <c r="O11" s="263"/>
      <c r="P11" s="263"/>
      <c r="Q11" s="263"/>
      <c r="R11" s="264"/>
    </row>
    <row r="12" spans="1:18" ht="15.75">
      <c r="A12" s="25"/>
      <c r="B12" s="58" t="s">
        <v>143</v>
      </c>
      <c r="C12" s="65">
        <f>$C$8/$C$7</f>
        <v>2.209621536262503E-2</v>
      </c>
      <c r="D12" s="25"/>
      <c r="E12" s="25"/>
      <c r="F12" s="25"/>
      <c r="G12" s="58" t="s">
        <v>141</v>
      </c>
      <c r="H12" s="61">
        <f>$H$7*(1-$H$8)</f>
        <v>0.19546849398512481</v>
      </c>
      <c r="I12" s="64"/>
      <c r="J12" s="25"/>
      <c r="K12" s="25"/>
      <c r="L12" s="25"/>
      <c r="M12" s="262"/>
      <c r="N12" s="263"/>
      <c r="O12" s="263"/>
      <c r="P12" s="263"/>
      <c r="Q12" s="263"/>
      <c r="R12" s="264"/>
    </row>
    <row r="13" spans="1:18" ht="15.75">
      <c r="A13" s="25"/>
      <c r="B13" s="58" t="s">
        <v>144</v>
      </c>
      <c r="C13" s="65">
        <f>$C$9/$C$7</f>
        <v>8.5747341260866018E-3</v>
      </c>
      <c r="D13" s="25"/>
      <c r="E13" s="25"/>
      <c r="F13" s="25"/>
      <c r="G13" s="58"/>
      <c r="H13" s="25"/>
      <c r="I13" s="25"/>
      <c r="J13" s="25"/>
      <c r="K13" s="25"/>
      <c r="L13" s="25"/>
      <c r="M13" s="262"/>
      <c r="N13" s="263"/>
      <c r="O13" s="263"/>
      <c r="P13" s="263"/>
      <c r="Q13" s="263"/>
      <c r="R13" s="264"/>
    </row>
    <row r="14" spans="1:18" ht="15.75">
      <c r="A14" s="25"/>
      <c r="B14" s="58" t="s">
        <v>145</v>
      </c>
      <c r="C14" s="66">
        <f>$C$7/$C$10</f>
        <v>16.280362708204475</v>
      </c>
      <c r="D14" s="25"/>
      <c r="E14" s="25"/>
      <c r="F14" s="25"/>
      <c r="G14" s="25"/>
      <c r="H14" s="25"/>
      <c r="I14" s="25"/>
      <c r="J14" s="25"/>
      <c r="K14" s="25"/>
      <c r="L14" s="25"/>
      <c r="M14" s="262"/>
      <c r="N14" s="263"/>
      <c r="O14" s="263"/>
      <c r="P14" s="263"/>
      <c r="Q14" s="263"/>
      <c r="R14" s="264"/>
    </row>
    <row r="15" spans="1:18" ht="15.75">
      <c r="A15" s="25"/>
      <c r="B15" s="25"/>
      <c r="C15" s="57"/>
      <c r="D15" s="25"/>
      <c r="E15" s="25"/>
      <c r="F15" s="25"/>
      <c r="G15" s="25"/>
      <c r="H15" s="25"/>
      <c r="I15" s="25"/>
      <c r="J15" s="25"/>
      <c r="K15" s="25"/>
      <c r="L15" s="25"/>
      <c r="M15" s="262"/>
      <c r="N15" s="263"/>
      <c r="O15" s="263"/>
      <c r="P15" s="263"/>
      <c r="Q15" s="263"/>
      <c r="R15" s="264"/>
    </row>
    <row r="16" spans="1:18" ht="16.5" thickBot="1">
      <c r="A16" s="25"/>
      <c r="B16" s="58" t="s">
        <v>256</v>
      </c>
      <c r="C16" s="67">
        <v>0.08</v>
      </c>
      <c r="D16" s="25"/>
      <c r="E16" s="25"/>
      <c r="F16" s="25"/>
      <c r="G16" s="25"/>
      <c r="H16" s="25"/>
      <c r="I16" s="25"/>
      <c r="J16" s="25"/>
      <c r="K16" s="25"/>
      <c r="L16" s="25"/>
      <c r="M16" s="265"/>
      <c r="N16" s="266"/>
      <c r="O16" s="266"/>
      <c r="P16" s="266"/>
      <c r="Q16" s="266"/>
      <c r="R16" s="267"/>
    </row>
    <row r="17" spans="1:13" ht="15.75">
      <c r="A17" s="25"/>
      <c r="D17" s="25"/>
      <c r="E17" s="25"/>
      <c r="F17" s="25"/>
      <c r="G17" s="25"/>
      <c r="H17" s="25"/>
      <c r="I17" s="25"/>
      <c r="J17" s="25"/>
      <c r="K17" s="25"/>
      <c r="L17" s="25"/>
      <c r="M17" s="25"/>
    </row>
    <row r="18" spans="1:13" ht="20.25" thickBot="1">
      <c r="A18" s="195" t="s">
        <v>146</v>
      </c>
      <c r="B18" s="25"/>
      <c r="C18" s="25"/>
      <c r="D18" s="25"/>
      <c r="E18" s="25"/>
      <c r="F18" s="25"/>
      <c r="G18" s="25"/>
      <c r="H18" s="25"/>
      <c r="I18" s="25"/>
      <c r="J18" s="25"/>
      <c r="K18" s="25"/>
      <c r="L18" s="25"/>
      <c r="M18" s="25"/>
    </row>
    <row r="19" spans="1:13" ht="15.75">
      <c r="A19" s="107"/>
      <c r="B19" s="108"/>
      <c r="C19" s="108"/>
      <c r="D19" s="108"/>
      <c r="E19" s="281" t="s">
        <v>147</v>
      </c>
      <c r="F19" s="281"/>
      <c r="G19" s="281" t="s">
        <v>148</v>
      </c>
      <c r="H19" s="281"/>
      <c r="I19" s="108"/>
      <c r="J19" s="109"/>
      <c r="K19" s="25"/>
      <c r="L19" s="68"/>
      <c r="M19" s="25"/>
    </row>
    <row r="20" spans="1:13" ht="15.75">
      <c r="A20" s="110" t="s">
        <v>2</v>
      </c>
      <c r="B20" s="69" t="s">
        <v>149</v>
      </c>
      <c r="C20" s="69" t="s">
        <v>150</v>
      </c>
      <c r="D20" s="69" t="s">
        <v>151</v>
      </c>
      <c r="E20" s="69" t="s">
        <v>152</v>
      </c>
      <c r="F20" s="69" t="s">
        <v>153</v>
      </c>
      <c r="G20" s="69" t="s">
        <v>152</v>
      </c>
      <c r="H20" s="69" t="s">
        <v>153</v>
      </c>
      <c r="I20" s="69" t="s">
        <v>154</v>
      </c>
      <c r="J20" s="111" t="s">
        <v>178</v>
      </c>
      <c r="K20" s="25"/>
      <c r="L20" s="25"/>
      <c r="M20" s="25"/>
    </row>
    <row r="21" spans="1:13" ht="15.75">
      <c r="A21" s="112" t="s">
        <v>25</v>
      </c>
      <c r="B21" s="70">
        <f>'P &amp; L Account'!B28</f>
        <v>14.49544624159318</v>
      </c>
      <c r="C21" s="70">
        <f>Ratios!B7</f>
        <v>7.314445543082412</v>
      </c>
      <c r="D21" s="70">
        <f>Ratios!B5</f>
        <v>49.785352403699768</v>
      </c>
      <c r="E21" s="56">
        <f>'Fair Value'!B5</f>
        <v>324</v>
      </c>
      <c r="F21" s="56">
        <f>'Fair Value'!B7</f>
        <v>221</v>
      </c>
      <c r="G21" s="71">
        <f t="shared" ref="G21:G22" si="0">E21/$B21</f>
        <v>22.351847235327988</v>
      </c>
      <c r="H21" s="71">
        <f t="shared" ref="H21:H22" si="1">F21/$B21</f>
        <v>15.24616740434409</v>
      </c>
      <c r="I21" s="72">
        <f t="shared" ref="I21:I22" si="2">B21/D21</f>
        <v>0.29115885580265494</v>
      </c>
      <c r="J21" s="113">
        <f t="shared" ref="J21:J22" si="3">C21/B21</f>
        <v>0.50460299194476466</v>
      </c>
      <c r="K21" s="25"/>
      <c r="L21" s="25"/>
      <c r="M21" s="25"/>
    </row>
    <row r="22" spans="1:13" ht="15.75">
      <c r="A22" s="112" t="s">
        <v>24</v>
      </c>
      <c r="B22" s="70">
        <f>'P &amp; L Account'!C28</f>
        <v>15.104288344951264</v>
      </c>
      <c r="C22" s="70">
        <f>Ratios!C7</f>
        <v>8.4998110765038355</v>
      </c>
      <c r="D22" s="70">
        <f>Ratios!C5</f>
        <v>55.200293987332898</v>
      </c>
      <c r="E22" s="56">
        <f>'Fair Value'!C5</f>
        <v>361</v>
      </c>
      <c r="F22" s="56">
        <f>'Fair Value'!C7</f>
        <v>225</v>
      </c>
      <c r="G22" s="71">
        <f t="shared" si="0"/>
        <v>23.900497114163429</v>
      </c>
      <c r="H22" s="71">
        <f t="shared" si="1"/>
        <v>14.896431719353938</v>
      </c>
      <c r="I22" s="72">
        <f t="shared" si="2"/>
        <v>0.27362695474805487</v>
      </c>
      <c r="J22" s="113">
        <f t="shared" si="3"/>
        <v>0.56274157923798962</v>
      </c>
      <c r="K22" s="25"/>
      <c r="L22" s="25"/>
      <c r="M22" s="25"/>
    </row>
    <row r="23" spans="1:13" ht="15.75">
      <c r="A23" s="112" t="s">
        <v>26</v>
      </c>
      <c r="B23" s="70">
        <f>'P &amp; L Account'!D28</f>
        <v>18.148498861741579</v>
      </c>
      <c r="C23" s="70">
        <f>Ratios!D7</f>
        <v>9.5006474107910517</v>
      </c>
      <c r="D23" s="70">
        <f>Ratios!D5</f>
        <v>59.130661675106651</v>
      </c>
      <c r="E23" s="56">
        <f>'Fair Value'!D5</f>
        <v>471</v>
      </c>
      <c r="F23" s="56">
        <f>'Fair Value'!D7</f>
        <v>327</v>
      </c>
      <c r="G23" s="71">
        <f t="shared" ref="G23:H30" si="4">E23/$B23</f>
        <v>25.952559690372187</v>
      </c>
      <c r="H23" s="71">
        <f t="shared" si="4"/>
        <v>18.01801914809279</v>
      </c>
      <c r="I23" s="72">
        <f t="shared" ref="I23:I30" si="5">B23/D23</f>
        <v>0.30692196480835077</v>
      </c>
      <c r="J23" s="113">
        <f t="shared" ref="J23:J30" si="6">C23/B23</f>
        <v>0.5234949448529399</v>
      </c>
      <c r="K23" s="25"/>
      <c r="L23" s="25"/>
      <c r="M23" s="25"/>
    </row>
    <row r="24" spans="1:13" ht="15.75">
      <c r="A24" s="112" t="s">
        <v>27</v>
      </c>
      <c r="B24" s="70">
        <f>'P &amp; L Account'!E28</f>
        <v>22.118482987747552</v>
      </c>
      <c r="C24" s="70">
        <f>Ratios!E7</f>
        <v>12.500028800108058</v>
      </c>
      <c r="D24" s="70">
        <f>Ratios!E5</f>
        <v>67.374008440949396</v>
      </c>
      <c r="E24" s="56">
        <f>'Fair Value'!E5</f>
        <v>862</v>
      </c>
      <c r="F24" s="56">
        <f>'Fair Value'!E7</f>
        <v>449</v>
      </c>
      <c r="G24" s="71">
        <f t="shared" si="4"/>
        <v>38.97193132447201</v>
      </c>
      <c r="H24" s="71">
        <f t="shared" si="4"/>
        <v>20.299764692213376</v>
      </c>
      <c r="I24" s="72">
        <f t="shared" si="5"/>
        <v>0.32829400386847268</v>
      </c>
      <c r="J24" s="113">
        <f t="shared" si="6"/>
        <v>0.56513951734539847</v>
      </c>
      <c r="K24" s="25"/>
      <c r="L24" s="25"/>
      <c r="M24" s="25"/>
    </row>
    <row r="25" spans="1:13" ht="15.75">
      <c r="A25" s="112" t="s">
        <v>28</v>
      </c>
      <c r="B25" s="70">
        <f>'P &amp; L Account'!F28</f>
        <v>29.298441148410109</v>
      </c>
      <c r="C25" s="70">
        <f>Ratios!F7</f>
        <v>12.99940442940345</v>
      </c>
      <c r="D25" s="70">
        <f>Ratios!F5</f>
        <v>81.087551296380695</v>
      </c>
      <c r="E25" s="56">
        <f>'Fair Value'!F5</f>
        <v>972</v>
      </c>
      <c r="F25" s="56">
        <f>'Fair Value'!F7</f>
        <v>683</v>
      </c>
      <c r="G25" s="71">
        <f t="shared" si="4"/>
        <v>33.175826491121896</v>
      </c>
      <c r="H25" s="71">
        <f t="shared" si="4"/>
        <v>23.311820466498204</v>
      </c>
      <c r="I25" s="72">
        <f t="shared" si="5"/>
        <v>0.36131860785044856</v>
      </c>
      <c r="J25" s="113">
        <f t="shared" si="6"/>
        <v>0.44368928584136863</v>
      </c>
      <c r="K25" s="25"/>
      <c r="L25" s="25"/>
      <c r="M25" s="25"/>
    </row>
    <row r="26" spans="1:13" ht="15.75">
      <c r="A26" s="112" t="s">
        <v>17</v>
      </c>
      <c r="B26" s="70">
        <f>'P &amp; L Account'!G28</f>
        <v>42.658563673296094</v>
      </c>
      <c r="C26" s="70">
        <f>Ratios!G7</f>
        <v>16.998579615159457</v>
      </c>
      <c r="D26" s="70">
        <f>Ratios!G5</f>
        <v>102.41579059518058</v>
      </c>
      <c r="E26" s="56">
        <f>'Fair Value'!G5</f>
        <v>1316</v>
      </c>
      <c r="F26" s="56">
        <f>'Fair Value'!G7</f>
        <v>1043</v>
      </c>
      <c r="G26" s="71">
        <f t="shared" si="4"/>
        <v>30.849608769734669</v>
      </c>
      <c r="H26" s="71">
        <f t="shared" si="4"/>
        <v>24.449955886651413</v>
      </c>
      <c r="I26" s="72">
        <f t="shared" si="5"/>
        <v>0.41652330588271114</v>
      </c>
      <c r="J26" s="113">
        <f t="shared" si="6"/>
        <v>0.3984798866024743</v>
      </c>
      <c r="K26" s="25"/>
      <c r="L26" s="25"/>
      <c r="M26" s="25"/>
    </row>
    <row r="27" spans="1:13" ht="15.75">
      <c r="A27" s="112" t="s">
        <v>18</v>
      </c>
      <c r="B27" s="70">
        <f>'P &amp; L Account'!H28</f>
        <v>41.476325753419481</v>
      </c>
      <c r="C27" s="70">
        <f>Ratios!H7</f>
        <v>17.500040320151282</v>
      </c>
      <c r="D27" s="70">
        <f>Ratios!H5</f>
        <v>125.43502628378658</v>
      </c>
      <c r="E27" s="56">
        <f>'Fair Value'!H5</f>
        <v>1264</v>
      </c>
      <c r="F27" s="56">
        <f>'Fair Value'!H7</f>
        <v>715</v>
      </c>
      <c r="G27" s="71">
        <f t="shared" si="4"/>
        <v>30.475216332193806</v>
      </c>
      <c r="H27" s="71">
        <f t="shared" si="4"/>
        <v>17.238749744872287</v>
      </c>
      <c r="I27" s="72">
        <f t="shared" si="5"/>
        <v>0.33065984025532591</v>
      </c>
      <c r="J27" s="113">
        <f t="shared" si="6"/>
        <v>0.42192841343253518</v>
      </c>
      <c r="K27" s="25"/>
      <c r="L27" s="25"/>
      <c r="M27" s="25"/>
    </row>
    <row r="28" spans="1:13" ht="15.75">
      <c r="A28" s="112" t="s">
        <v>19</v>
      </c>
      <c r="B28" s="70">
        <f>'P &amp; L Account'!I28</f>
        <v>87.118632748309352</v>
      </c>
      <c r="C28" s="70">
        <f>Ratios!I7</f>
        <v>26.999645193094118</v>
      </c>
      <c r="D28" s="70">
        <f>Ratios!I5</f>
        <v>178.27188696921414</v>
      </c>
      <c r="E28" s="56">
        <f>'Fair Value'!I5</f>
        <v>2545</v>
      </c>
      <c r="F28" s="56">
        <f>'Fair Value'!I7</f>
        <v>1640</v>
      </c>
      <c r="G28" s="71">
        <f t="shared" si="4"/>
        <v>29.213038815159653</v>
      </c>
      <c r="H28" s="71">
        <f t="shared" si="4"/>
        <v>18.824905169690307</v>
      </c>
      <c r="I28" s="72">
        <f t="shared" si="5"/>
        <v>0.48868407817635268</v>
      </c>
      <c r="J28" s="113">
        <f t="shared" si="6"/>
        <v>0.3099181465702936</v>
      </c>
      <c r="K28" s="25"/>
      <c r="L28" s="25"/>
      <c r="M28" s="25"/>
    </row>
    <row r="29" spans="1:13" ht="15.75">
      <c r="A29" s="112" t="s">
        <v>20</v>
      </c>
      <c r="B29" s="70">
        <f>'P &amp; L Account'!J28</f>
        <v>87.910961512953421</v>
      </c>
      <c r="C29" s="70">
        <f>Ratios!J7</f>
        <v>31.999656713137341</v>
      </c>
      <c r="D29" s="70">
        <f>Ratios!J5</f>
        <v>228.04681399443174</v>
      </c>
      <c r="E29" s="56">
        <f>'Fair Value'!J5</f>
        <v>3017</v>
      </c>
      <c r="F29" s="56">
        <f>'Fair Value'!J7</f>
        <v>2040</v>
      </c>
      <c r="G29" s="71">
        <f t="shared" si="4"/>
        <v>34.318814719771368</v>
      </c>
      <c r="H29" s="71">
        <f t="shared" si="4"/>
        <v>23.205297324605102</v>
      </c>
      <c r="I29" s="72">
        <f t="shared" si="5"/>
        <v>0.38549524096881249</v>
      </c>
      <c r="J29" s="113">
        <f t="shared" si="6"/>
        <v>0.36400075897727824</v>
      </c>
      <c r="K29" s="25"/>
      <c r="L29" s="25"/>
      <c r="M29" s="25"/>
    </row>
    <row r="30" spans="1:13" ht="16.5" thickBot="1">
      <c r="A30" s="114" t="s">
        <v>21</v>
      </c>
      <c r="B30" s="115">
        <f>'P &amp; L Account'!K28</f>
        <v>103.07884466664576</v>
      </c>
      <c r="C30" s="115">
        <f>Ratios!K7</f>
        <v>40.001134698194001</v>
      </c>
      <c r="D30" s="115">
        <f>Ratios!K5</f>
        <v>286.54152758212672</v>
      </c>
      <c r="E30" s="116">
        <f>'Fair Value'!K5</f>
        <v>3762</v>
      </c>
      <c r="F30" s="116">
        <f>'Fair Value'!K7</f>
        <v>2802</v>
      </c>
      <c r="G30" s="117">
        <f t="shared" si="4"/>
        <v>36.49633455018057</v>
      </c>
      <c r="H30" s="117">
        <f t="shared" si="4"/>
        <v>27.183075334823485</v>
      </c>
      <c r="I30" s="118">
        <f t="shared" si="5"/>
        <v>0.35973440058213535</v>
      </c>
      <c r="J30" s="119">
        <f t="shared" si="6"/>
        <v>0.38806347536739089</v>
      </c>
      <c r="K30" s="25"/>
      <c r="L30" s="25"/>
      <c r="M30" s="25"/>
    </row>
    <row r="31" spans="1:13" ht="15.75">
      <c r="A31" s="25"/>
      <c r="B31" s="25"/>
      <c r="C31" s="25"/>
      <c r="D31" s="25"/>
      <c r="E31" s="25"/>
      <c r="F31" s="25"/>
      <c r="G31" s="73"/>
      <c r="H31" s="73"/>
      <c r="I31" s="74"/>
      <c r="J31" s="74"/>
      <c r="K31" s="25"/>
      <c r="L31" s="25"/>
      <c r="M31" s="25"/>
    </row>
    <row r="32" spans="1:13" ht="20.25" thickBot="1">
      <c r="A32" s="195" t="s">
        <v>182</v>
      </c>
      <c r="B32" s="25"/>
      <c r="C32" s="25"/>
      <c r="D32" s="25"/>
      <c r="E32" s="75"/>
      <c r="F32" s="75"/>
      <c r="G32" s="60"/>
      <c r="H32" s="25"/>
      <c r="I32" s="76"/>
      <c r="J32" s="25"/>
      <c r="K32" s="25"/>
      <c r="L32" s="25"/>
      <c r="M32" s="25"/>
    </row>
    <row r="33" spans="1:13" ht="15.75">
      <c r="A33" s="120" t="s">
        <v>179</v>
      </c>
      <c r="B33" s="121" t="s">
        <v>149</v>
      </c>
      <c r="C33" s="121" t="s">
        <v>150</v>
      </c>
      <c r="D33" s="121" t="s">
        <v>151</v>
      </c>
      <c r="E33" s="122" t="s">
        <v>155</v>
      </c>
      <c r="F33" s="123" t="s">
        <v>156</v>
      </c>
      <c r="G33" s="60"/>
      <c r="H33" s="25"/>
      <c r="I33" s="76"/>
      <c r="J33" s="25"/>
      <c r="K33" s="25"/>
      <c r="L33" s="25"/>
      <c r="M33" s="25"/>
    </row>
    <row r="34" spans="1:13" ht="15.75">
      <c r="A34" s="124" t="s">
        <v>181</v>
      </c>
      <c r="B34" s="72">
        <f>(B30/B21)^(1/9)-1</f>
        <v>0.24354003739963503</v>
      </c>
      <c r="C34" s="72">
        <f>(C30/C21)^(1/9)-1</f>
        <v>0.20778012256649392</v>
      </c>
      <c r="D34" s="72">
        <f>(D30/D21)^(1/9)-1</f>
        <v>0.21465795412179589</v>
      </c>
      <c r="E34" s="72">
        <f>(E30/E21)^(1/9)-1</f>
        <v>0.31316503057133049</v>
      </c>
      <c r="F34" s="113">
        <f>(F30/F21)^(1/9)-1</f>
        <v>0.32606247073209405</v>
      </c>
      <c r="G34" s="25"/>
      <c r="H34" s="25"/>
      <c r="I34" s="25"/>
      <c r="J34" s="25"/>
      <c r="K34" s="25"/>
      <c r="L34" s="25"/>
      <c r="M34" s="25"/>
    </row>
    <row r="35" spans="1:13" ht="16.5" thickBot="1">
      <c r="A35" s="125" t="s">
        <v>180</v>
      </c>
      <c r="B35" s="118">
        <f>(B30/B25)^(1/5)-1</f>
        <v>0.2860711787362229</v>
      </c>
      <c r="C35" s="118">
        <f t="shared" ref="C35:F35" si="7">(C30/C25)^(1/5)-1</f>
        <v>0.25207334793614944</v>
      </c>
      <c r="D35" s="118">
        <f t="shared" si="7"/>
        <v>0.28720191508652904</v>
      </c>
      <c r="E35" s="118">
        <f t="shared" si="7"/>
        <v>0.3108424748519838</v>
      </c>
      <c r="F35" s="119">
        <f t="shared" si="7"/>
        <v>0.32620141043116324</v>
      </c>
      <c r="G35" s="25"/>
      <c r="H35" s="25"/>
      <c r="I35" s="25"/>
      <c r="J35" s="25"/>
      <c r="K35" s="25"/>
      <c r="L35" s="25"/>
      <c r="M35" s="25"/>
    </row>
    <row r="36" spans="1:13" ht="15.75">
      <c r="A36" s="77"/>
      <c r="B36" s="74"/>
      <c r="C36" s="74"/>
      <c r="D36" s="74"/>
      <c r="E36" s="74"/>
      <c r="F36" s="74"/>
      <c r="G36" s="25"/>
      <c r="H36" s="25"/>
      <c r="I36" s="25"/>
      <c r="J36" s="25"/>
      <c r="K36" s="25"/>
      <c r="L36" s="25"/>
      <c r="M36" s="25"/>
    </row>
    <row r="37" spans="1:13" ht="20.25" thickBot="1">
      <c r="A37" s="195" t="s">
        <v>157</v>
      </c>
      <c r="B37" s="25"/>
      <c r="C37" s="25"/>
      <c r="D37" s="25"/>
      <c r="E37" s="25"/>
      <c r="F37" s="25"/>
      <c r="G37" s="25"/>
      <c r="H37" s="25"/>
      <c r="I37" s="25"/>
      <c r="J37" s="25"/>
      <c r="K37" s="25"/>
      <c r="L37" s="78"/>
      <c r="M37" s="25"/>
    </row>
    <row r="38" spans="1:13" ht="15.75">
      <c r="A38" s="126" t="s">
        <v>2</v>
      </c>
      <c r="B38" s="121" t="s">
        <v>149</v>
      </c>
      <c r="C38" s="109" t="s">
        <v>150</v>
      </c>
      <c r="D38" s="25"/>
      <c r="E38" s="79"/>
      <c r="F38" s="25"/>
      <c r="G38" s="25"/>
      <c r="H38" s="25"/>
      <c r="I38" s="25"/>
      <c r="J38" s="25"/>
      <c r="K38" s="25"/>
      <c r="L38" s="25"/>
      <c r="M38" s="25"/>
    </row>
    <row r="39" spans="1:13" ht="15.75">
      <c r="A39" s="112" t="s">
        <v>183</v>
      </c>
      <c r="B39" s="70">
        <f>$C$8</f>
        <v>103.07884466664576</v>
      </c>
      <c r="C39" s="127">
        <f t="shared" ref="C39:C49" si="8">B39*$H$8</f>
        <v>46.200546346551583</v>
      </c>
      <c r="D39" s="25"/>
      <c r="E39" s="80">
        <f>$B$49</f>
        <v>911.52223573796152</v>
      </c>
      <c r="F39" s="60" t="s">
        <v>158</v>
      </c>
      <c r="G39" s="25"/>
      <c r="H39" s="25"/>
      <c r="I39" s="25"/>
      <c r="J39" s="25"/>
      <c r="K39" s="25"/>
      <c r="L39" s="25"/>
      <c r="M39" s="25"/>
    </row>
    <row r="40" spans="1:13" ht="15.75">
      <c r="A40" s="112" t="s">
        <v>167</v>
      </c>
      <c r="B40" s="70">
        <f t="shared" ref="B40:B49" si="9">B39*(1+$B$34)</f>
        <v>128.18267035187185</v>
      </c>
      <c r="C40" s="127">
        <f t="shared" si="8"/>
        <v>57.452229131674329</v>
      </c>
      <c r="D40" s="25"/>
      <c r="E40" s="80">
        <f>SUM($C$39:$C$49)</f>
        <v>1896.391649734893</v>
      </c>
      <c r="F40" s="60" t="s">
        <v>159</v>
      </c>
      <c r="G40" s="25"/>
      <c r="H40" s="25"/>
      <c r="I40" s="25"/>
      <c r="J40" s="25"/>
      <c r="K40" s="25"/>
      <c r="L40" s="25"/>
      <c r="M40" s="25"/>
    </row>
    <row r="41" spans="1:13" ht="15.75">
      <c r="A41" s="112" t="s">
        <v>168</v>
      </c>
      <c r="B41" s="70">
        <f t="shared" si="9"/>
        <v>159.4002826833518</v>
      </c>
      <c r="C41" s="127">
        <f t="shared" si="8"/>
        <v>71.444147163094698</v>
      </c>
      <c r="D41" s="25"/>
      <c r="E41" s="80"/>
      <c r="F41" s="25"/>
      <c r="G41" s="25"/>
      <c r="H41" s="25"/>
      <c r="I41" s="25"/>
      <c r="J41" s="25"/>
      <c r="K41" s="25"/>
      <c r="L41" s="25"/>
      <c r="M41" s="25"/>
    </row>
    <row r="42" spans="1:13" ht="15.75">
      <c r="A42" s="112" t="s">
        <v>169</v>
      </c>
      <c r="B42" s="70">
        <f t="shared" si="9"/>
        <v>198.22063348956769</v>
      </c>
      <c r="C42" s="127">
        <f t="shared" si="8"/>
        <v>88.843657435179807</v>
      </c>
      <c r="D42" s="25"/>
      <c r="E42" s="84">
        <f>$H$11*$E$39</f>
        <v>23169.977417695503</v>
      </c>
      <c r="F42" s="60" t="s">
        <v>160</v>
      </c>
      <c r="G42" s="25"/>
      <c r="H42" s="25"/>
      <c r="I42" s="25"/>
      <c r="J42" s="25"/>
      <c r="K42" s="25"/>
      <c r="L42" s="25"/>
      <c r="M42" s="25"/>
    </row>
    <row r="43" spans="1:13" ht="15.75">
      <c r="A43" s="112" t="s">
        <v>170</v>
      </c>
      <c r="B43" s="70">
        <f t="shared" si="9"/>
        <v>246.49529398299634</v>
      </c>
      <c r="C43" s="127">
        <f t="shared" si="8"/>
        <v>110.48064508966385</v>
      </c>
      <c r="D43" s="25"/>
      <c r="E43" s="85">
        <f>$E$42+$E$40</f>
        <v>25066.369067430398</v>
      </c>
      <c r="F43" s="60" t="s">
        <v>161</v>
      </c>
      <c r="G43" s="25"/>
      <c r="H43" s="25"/>
      <c r="I43" s="25"/>
      <c r="J43" s="25"/>
      <c r="K43" s="25"/>
      <c r="L43" s="25"/>
    </row>
    <row r="44" spans="1:13" ht="15.75">
      <c r="A44" s="112" t="s">
        <v>171</v>
      </c>
      <c r="B44" s="70">
        <f t="shared" si="9"/>
        <v>306.52676709844928</v>
      </c>
      <c r="C44" s="127">
        <f t="shared" si="8"/>
        <v>137.38710552673638</v>
      </c>
      <c r="D44" s="25"/>
      <c r="E44" s="81"/>
      <c r="F44" s="25"/>
      <c r="G44" s="25"/>
      <c r="H44" s="25"/>
      <c r="I44" s="25"/>
      <c r="J44" s="25"/>
      <c r="K44" s="25"/>
      <c r="L44" s="25"/>
    </row>
    <row r="45" spans="1:13" ht="15.75">
      <c r="A45" s="112" t="s">
        <v>172</v>
      </c>
      <c r="B45" s="70">
        <f t="shared" si="9"/>
        <v>381.17830742159487</v>
      </c>
      <c r="C45" s="127">
        <f t="shared" si="8"/>
        <v>170.84636634494538</v>
      </c>
      <c r="D45" s="25"/>
      <c r="E45" s="82">
        <f>($E$43/$C$7)^(1/10)-1</f>
        <v>0.1831068753492664</v>
      </c>
      <c r="F45" s="60" t="s">
        <v>162</v>
      </c>
      <c r="G45" s="25"/>
      <c r="H45" s="25"/>
      <c r="I45" s="25"/>
      <c r="J45" s="25"/>
      <c r="K45" s="25"/>
      <c r="L45" s="25"/>
    </row>
    <row r="46" spans="1:13" ht="15.75">
      <c r="A46" s="112" t="s">
        <v>173</v>
      </c>
      <c r="B46" s="70">
        <f t="shared" si="9"/>
        <v>474.01048666697966</v>
      </c>
      <c r="C46" s="127">
        <f t="shared" si="8"/>
        <v>212.45429679418513</v>
      </c>
      <c r="D46" s="25"/>
      <c r="E46" s="25"/>
      <c r="F46" s="60" t="s">
        <v>163</v>
      </c>
      <c r="G46" s="25"/>
      <c r="H46" s="25"/>
      <c r="I46" s="25"/>
      <c r="J46" s="25"/>
      <c r="K46" s="25"/>
      <c r="L46" s="25"/>
    </row>
    <row r="47" spans="1:13" ht="15.75">
      <c r="A47" s="112" t="s">
        <v>174</v>
      </c>
      <c r="B47" s="70">
        <f t="shared" si="9"/>
        <v>589.45101831767511</v>
      </c>
      <c r="C47" s="127">
        <f t="shared" si="8"/>
        <v>264.19542418115412</v>
      </c>
      <c r="D47" s="25"/>
      <c r="E47" s="25"/>
      <c r="F47" s="25"/>
      <c r="G47" s="25"/>
      <c r="H47" s="25"/>
      <c r="I47" s="25"/>
      <c r="J47" s="25"/>
      <c r="K47" s="25"/>
      <c r="L47" s="25"/>
    </row>
    <row r="48" spans="1:13" ht="15.75">
      <c r="A48" s="112" t="s">
        <v>175</v>
      </c>
      <c r="B48" s="70">
        <f t="shared" si="9"/>
        <v>733.00594136401469</v>
      </c>
      <c r="C48" s="127">
        <f t="shared" si="8"/>
        <v>328.53758766704487</v>
      </c>
      <c r="D48" s="25"/>
      <c r="E48" s="25"/>
      <c r="F48" s="25"/>
      <c r="G48" s="25"/>
      <c r="H48" s="25"/>
      <c r="I48" s="25"/>
      <c r="J48" s="25"/>
      <c r="K48" s="25"/>
      <c r="L48" s="25"/>
    </row>
    <row r="49" spans="1:13" ht="16.5" thickBot="1">
      <c r="A49" s="114" t="s">
        <v>176</v>
      </c>
      <c r="B49" s="115">
        <f t="shared" si="9"/>
        <v>911.52223573796152</v>
      </c>
      <c r="C49" s="128">
        <f t="shared" si="8"/>
        <v>408.54964405466285</v>
      </c>
      <c r="D49" s="25"/>
      <c r="E49" s="25"/>
      <c r="F49" s="25"/>
      <c r="G49" s="25"/>
      <c r="H49" s="25"/>
      <c r="I49" s="25"/>
      <c r="J49" s="25"/>
      <c r="K49" s="25"/>
      <c r="L49" s="25"/>
    </row>
    <row r="50" spans="1:13" ht="15.75">
      <c r="A50" s="25"/>
      <c r="B50" s="86"/>
      <c r="C50" s="86"/>
      <c r="D50" s="86"/>
      <c r="E50" s="25"/>
      <c r="F50" s="25"/>
      <c r="G50" s="25"/>
      <c r="H50" s="25"/>
      <c r="I50" s="25"/>
      <c r="J50" s="25"/>
      <c r="K50" s="25"/>
      <c r="L50" s="25"/>
    </row>
    <row r="51" spans="1:13" ht="20.25" thickBot="1">
      <c r="A51" s="195" t="s">
        <v>164</v>
      </c>
      <c r="B51" s="25"/>
      <c r="C51" s="25"/>
      <c r="D51" s="25"/>
      <c r="E51" s="25"/>
      <c r="F51" s="25"/>
      <c r="G51" s="25"/>
      <c r="H51" s="25"/>
      <c r="I51" s="25"/>
      <c r="J51" s="25"/>
      <c r="K51" s="25"/>
      <c r="L51" s="25"/>
    </row>
    <row r="52" spans="1:13" ht="15.75">
      <c r="A52" s="126" t="s">
        <v>2</v>
      </c>
      <c r="B52" s="121" t="s">
        <v>151</v>
      </c>
      <c r="C52" s="121" t="s">
        <v>149</v>
      </c>
      <c r="D52" s="109" t="s">
        <v>150</v>
      </c>
      <c r="E52" s="25"/>
      <c r="F52" s="25"/>
      <c r="G52" s="25"/>
      <c r="H52" s="25"/>
      <c r="I52" s="25"/>
      <c r="J52" s="25"/>
      <c r="K52" s="25"/>
      <c r="L52" s="25"/>
    </row>
    <row r="53" spans="1:13" ht="15.75">
      <c r="A53" s="112" t="s">
        <v>183</v>
      </c>
      <c r="B53" s="70">
        <f>$C$10</f>
        <v>286.54152758212672</v>
      </c>
      <c r="C53" s="70">
        <f t="shared" ref="C53:C63" si="10">B53*$H$7</f>
        <v>101.50496509916597</v>
      </c>
      <c r="D53" s="127">
        <f t="shared" ref="D53:D63" si="11">C53*$H$8</f>
        <v>45.495124238490554</v>
      </c>
      <c r="E53" s="80">
        <f>$C$63</f>
        <v>605.15780081550008</v>
      </c>
      <c r="F53" s="60" t="s">
        <v>165</v>
      </c>
      <c r="G53" s="25"/>
      <c r="H53" s="25"/>
      <c r="I53" s="25"/>
      <c r="J53" s="25"/>
      <c r="K53" s="25"/>
      <c r="L53" s="25"/>
    </row>
    <row r="54" spans="1:13" ht="15.75">
      <c r="A54" s="112" t="s">
        <v>167</v>
      </c>
      <c r="B54" s="70">
        <f t="shared" ref="B54:B63" si="12">B53+C53-D53</f>
        <v>342.55136844280213</v>
      </c>
      <c r="C54" s="70">
        <f>B54*$H$7</f>
        <v>121.3459877591126</v>
      </c>
      <c r="D54" s="127">
        <f t="shared" si="11"/>
        <v>54.387987657054452</v>
      </c>
      <c r="E54" s="80">
        <f>SUM($D$53:$D$63)</f>
        <v>1426.1026000657539</v>
      </c>
      <c r="F54" s="60" t="s">
        <v>159</v>
      </c>
      <c r="G54" s="25"/>
      <c r="H54" s="25"/>
      <c r="I54" s="25"/>
      <c r="J54" s="25"/>
      <c r="K54" s="25"/>
      <c r="L54" s="25"/>
    </row>
    <row r="55" spans="1:13" ht="15.75">
      <c r="A55" s="112" t="s">
        <v>168</v>
      </c>
      <c r="B55" s="70">
        <f t="shared" si="12"/>
        <v>409.50936854486025</v>
      </c>
      <c r="C55" s="70">
        <f t="shared" si="10"/>
        <v>145.06530523752372</v>
      </c>
      <c r="D55" s="127">
        <f t="shared" si="11"/>
        <v>65.019125695260442</v>
      </c>
      <c r="E55" s="80"/>
      <c r="F55" s="25"/>
      <c r="G55" s="25"/>
      <c r="H55" s="25"/>
      <c r="I55" s="25"/>
      <c r="J55" s="25"/>
      <c r="K55" s="25"/>
      <c r="L55" s="25"/>
      <c r="M55" s="25"/>
    </row>
    <row r="56" spans="1:13" ht="15.75">
      <c r="A56" s="112" t="s">
        <v>169</v>
      </c>
      <c r="B56" s="70">
        <f t="shared" si="12"/>
        <v>489.55554808712361</v>
      </c>
      <c r="C56" s="70">
        <f t="shared" si="10"/>
        <v>173.42100198179497</v>
      </c>
      <c r="D56" s="127">
        <f t="shared" si="11"/>
        <v>77.728316275142546</v>
      </c>
      <c r="E56" s="84">
        <f>$H$11*$E$53</f>
        <v>15382.501961332535</v>
      </c>
      <c r="F56" s="60" t="s">
        <v>160</v>
      </c>
      <c r="G56" s="25"/>
      <c r="H56" s="25"/>
      <c r="I56" s="25"/>
      <c r="J56" s="25"/>
      <c r="K56" s="25"/>
      <c r="L56" s="25"/>
      <c r="M56" s="25"/>
    </row>
    <row r="57" spans="1:13" ht="15.75">
      <c r="A57" s="112" t="s">
        <v>170</v>
      </c>
      <c r="B57" s="70">
        <f t="shared" si="12"/>
        <v>585.24823379377608</v>
      </c>
      <c r="C57" s="70">
        <f t="shared" si="10"/>
        <v>207.31934406456779</v>
      </c>
      <c r="D57" s="127">
        <f t="shared" si="11"/>
        <v>92.921753197444133</v>
      </c>
      <c r="E57" s="85">
        <f>$E$56+$E$54</f>
        <v>16808.60456139829</v>
      </c>
      <c r="F57" s="60" t="s">
        <v>161</v>
      </c>
      <c r="G57" s="25"/>
      <c r="H57" s="25"/>
      <c r="I57" s="25"/>
      <c r="J57" s="25"/>
      <c r="K57" s="25"/>
      <c r="L57" s="25"/>
      <c r="M57" s="25"/>
    </row>
    <row r="58" spans="1:13" ht="15.75">
      <c r="A58" s="112" t="s">
        <v>171</v>
      </c>
      <c r="B58" s="70">
        <f t="shared" si="12"/>
        <v>699.64582466089973</v>
      </c>
      <c r="C58" s="70">
        <f t="shared" si="10"/>
        <v>247.84374402285277</v>
      </c>
      <c r="D58" s="127">
        <f t="shared" si="11"/>
        <v>111.08502835340599</v>
      </c>
      <c r="E58" s="83"/>
      <c r="F58" s="25"/>
      <c r="G58" s="25"/>
      <c r="H58" s="25"/>
      <c r="I58" s="25"/>
      <c r="J58" s="25"/>
      <c r="K58" s="25"/>
      <c r="L58" s="25"/>
      <c r="M58" s="25"/>
    </row>
    <row r="59" spans="1:13" ht="15.75">
      <c r="A59" s="112" t="s">
        <v>172</v>
      </c>
      <c r="B59" s="70">
        <f t="shared" si="12"/>
        <v>836.40454033034655</v>
      </c>
      <c r="C59" s="70">
        <f t="shared" si="10"/>
        <v>296.28938741063462</v>
      </c>
      <c r="D59" s="127">
        <f t="shared" si="11"/>
        <v>132.79865154994116</v>
      </c>
      <c r="E59" s="82">
        <f>($E$57/$C$7)^(1/10)-1</f>
        <v>0.1367579527349434</v>
      </c>
      <c r="F59" s="60" t="s">
        <v>166</v>
      </c>
      <c r="G59" s="25"/>
      <c r="H59" s="25"/>
      <c r="I59" s="25"/>
      <c r="J59" s="25"/>
      <c r="K59" s="25"/>
      <c r="L59" s="25"/>
      <c r="M59" s="25"/>
    </row>
    <row r="60" spans="1:13" ht="15.75">
      <c r="A60" s="112" t="s">
        <v>173</v>
      </c>
      <c r="B60" s="70">
        <f t="shared" si="12"/>
        <v>999.8952761910399</v>
      </c>
      <c r="C60" s="70">
        <f t="shared" si="10"/>
        <v>354.20462775156653</v>
      </c>
      <c r="D60" s="127">
        <f t="shared" si="11"/>
        <v>158.75660397166351</v>
      </c>
      <c r="E60" s="25"/>
      <c r="F60" s="60"/>
      <c r="G60" s="25"/>
      <c r="H60" s="25"/>
      <c r="I60" s="25"/>
      <c r="J60" s="25"/>
      <c r="K60" s="25"/>
      <c r="L60" s="25"/>
      <c r="M60" s="25"/>
    </row>
    <row r="61" spans="1:13" ht="15.75">
      <c r="A61" s="112" t="s">
        <v>174</v>
      </c>
      <c r="B61" s="70">
        <f t="shared" si="12"/>
        <v>1195.343299970943</v>
      </c>
      <c r="C61" s="70">
        <f t="shared" si="10"/>
        <v>423.44047290072706</v>
      </c>
      <c r="D61" s="127">
        <f t="shared" si="11"/>
        <v>189.78851826019749</v>
      </c>
      <c r="E61" s="25"/>
      <c r="F61" s="25"/>
      <c r="G61" s="25"/>
      <c r="H61" s="25"/>
      <c r="I61" s="25"/>
      <c r="J61" s="25"/>
      <c r="K61" s="25"/>
      <c r="L61" s="25"/>
      <c r="M61" s="25"/>
    </row>
    <row r="62" spans="1:13" ht="15.75">
      <c r="A62" s="112" t="s">
        <v>175</v>
      </c>
      <c r="B62" s="70">
        <f t="shared" si="12"/>
        <v>1428.9952546114725</v>
      </c>
      <c r="C62" s="70">
        <f t="shared" si="10"/>
        <v>506.20974443098123</v>
      </c>
      <c r="D62" s="127">
        <f t="shared" si="11"/>
        <v>226.88619410018666</v>
      </c>
      <c r="E62" s="25"/>
      <c r="F62" s="25"/>
      <c r="G62" s="25"/>
      <c r="H62" s="25"/>
      <c r="I62" s="25"/>
      <c r="J62" s="25"/>
      <c r="K62" s="25"/>
      <c r="L62" s="25"/>
      <c r="M62" s="25"/>
    </row>
    <row r="63" spans="1:13" ht="16.5" thickBot="1">
      <c r="A63" s="114" t="s">
        <v>176</v>
      </c>
      <c r="B63" s="115">
        <f t="shared" si="12"/>
        <v>1708.3188049422672</v>
      </c>
      <c r="C63" s="115">
        <f t="shared" si="10"/>
        <v>605.15780081550008</v>
      </c>
      <c r="D63" s="128">
        <f t="shared" si="11"/>
        <v>271.23529676696688</v>
      </c>
      <c r="E63" s="25"/>
      <c r="F63" s="25"/>
      <c r="G63" s="25"/>
      <c r="H63" s="25"/>
      <c r="I63" s="25"/>
      <c r="J63" s="25"/>
      <c r="K63" s="25"/>
      <c r="L63" s="25"/>
      <c r="M63" s="25"/>
    </row>
    <row r="65" spans="2:4" ht="15.75">
      <c r="B65" s="86"/>
      <c r="C65" s="86"/>
      <c r="D65" s="86"/>
    </row>
  </sheetData>
  <mergeCells count="7">
    <mergeCell ref="M5:R16"/>
    <mergeCell ref="F6:H6"/>
    <mergeCell ref="A1:J1"/>
    <mergeCell ref="G19:H19"/>
    <mergeCell ref="E19:F19"/>
    <mergeCell ref="A2:J2"/>
    <mergeCell ref="B6:C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N27"/>
  <sheetViews>
    <sheetView workbookViewId="0">
      <selection sqref="A1:K1"/>
    </sheetView>
  </sheetViews>
  <sheetFormatPr defaultRowHeight="15"/>
  <cols>
    <col min="1" max="1" width="32.7109375" style="3" bestFit="1" customWidth="1"/>
    <col min="2" max="2" width="10.85546875" style="3" bestFit="1" customWidth="1"/>
    <col min="3" max="6" width="7.140625" style="3" bestFit="1" customWidth="1"/>
    <col min="7" max="11" width="8.42578125" style="3" bestFit="1" customWidth="1"/>
    <col min="12" max="12" width="12" style="3" bestFit="1" customWidth="1"/>
    <col min="13" max="13" width="11.85546875" style="3" bestFit="1" customWidth="1"/>
    <col min="14" max="16384" width="9.140625" style="3"/>
  </cols>
  <sheetData>
    <row r="1" spans="1:14" s="22" customFormat="1" ht="20.25" thickBot="1">
      <c r="A1" s="287" t="s">
        <v>215</v>
      </c>
      <c r="B1" s="288"/>
      <c r="C1" s="288"/>
      <c r="D1" s="288"/>
      <c r="E1" s="288"/>
      <c r="F1" s="288"/>
      <c r="G1" s="288"/>
      <c r="H1" s="288"/>
      <c r="I1" s="288"/>
      <c r="J1" s="288"/>
      <c r="K1" s="289"/>
    </row>
    <row r="2" spans="1:14" s="22" customFormat="1" ht="16.5" customHeight="1" thickBot="1">
      <c r="A2" s="290" t="s">
        <v>237</v>
      </c>
      <c r="B2" s="290"/>
      <c r="C2" s="290"/>
      <c r="D2" s="290"/>
      <c r="E2" s="290"/>
      <c r="F2" s="290"/>
      <c r="G2" s="290"/>
      <c r="H2" s="290"/>
      <c r="I2" s="290"/>
      <c r="J2" s="290"/>
      <c r="K2" s="290"/>
      <c r="L2" s="83"/>
    </row>
    <row r="3" spans="1:14" s="22" customFormat="1" ht="15.75">
      <c r="A3" s="98" t="s">
        <v>2</v>
      </c>
      <c r="B3" s="99" t="s">
        <v>25</v>
      </c>
      <c r="C3" s="99" t="s">
        <v>24</v>
      </c>
      <c r="D3" s="99" t="s">
        <v>26</v>
      </c>
      <c r="E3" s="99" t="s">
        <v>27</v>
      </c>
      <c r="F3" s="99" t="s">
        <v>28</v>
      </c>
      <c r="G3" s="99" t="s">
        <v>17</v>
      </c>
      <c r="H3" s="99" t="s">
        <v>18</v>
      </c>
      <c r="I3" s="99" t="s">
        <v>19</v>
      </c>
      <c r="J3" s="99" t="s">
        <v>20</v>
      </c>
      <c r="K3" s="100" t="s">
        <v>21</v>
      </c>
      <c r="N3" s="23"/>
    </row>
    <row r="4" spans="1:14">
      <c r="A4" s="101" t="s">
        <v>202</v>
      </c>
      <c r="B4" s="54">
        <f>'P &amp; L Account'!B28</f>
        <v>14.49544624159318</v>
      </c>
      <c r="C4" s="54">
        <f>'P &amp; L Account'!C28</f>
        <v>15.104288344951264</v>
      </c>
      <c r="D4" s="54">
        <f>'P &amp; L Account'!D28</f>
        <v>18.148498861741579</v>
      </c>
      <c r="E4" s="54">
        <f>'P &amp; L Account'!E28</f>
        <v>22.118482987747552</v>
      </c>
      <c r="F4" s="54">
        <f>'P &amp; L Account'!F28</f>
        <v>29.298441148410109</v>
      </c>
      <c r="G4" s="54">
        <f>'P &amp; L Account'!G28</f>
        <v>42.658563673296094</v>
      </c>
      <c r="H4" s="54">
        <f>'P &amp; L Account'!H28</f>
        <v>41.476325753419481</v>
      </c>
      <c r="I4" s="54">
        <f>'P &amp; L Account'!I28</f>
        <v>87.118632748309352</v>
      </c>
      <c r="J4" s="54">
        <f>'P &amp; L Account'!J28</f>
        <v>87.910961512953421</v>
      </c>
      <c r="K4" s="102">
        <f>'P &amp; L Account'!K28</f>
        <v>103.07884466664576</v>
      </c>
      <c r="L4" s="24"/>
    </row>
    <row r="5" spans="1:14">
      <c r="A5" s="191" t="s">
        <v>47</v>
      </c>
      <c r="B5" s="178">
        <v>324</v>
      </c>
      <c r="C5" s="178">
        <v>361</v>
      </c>
      <c r="D5" s="178">
        <v>471</v>
      </c>
      <c r="E5" s="178">
        <v>862</v>
      </c>
      <c r="F5" s="178">
        <v>972</v>
      </c>
      <c r="G5" s="178">
        <v>1316</v>
      </c>
      <c r="H5" s="178">
        <v>1264</v>
      </c>
      <c r="I5" s="178">
        <v>2545</v>
      </c>
      <c r="J5" s="178">
        <v>3017</v>
      </c>
      <c r="K5" s="179">
        <v>3762</v>
      </c>
      <c r="L5" s="24"/>
    </row>
    <row r="6" spans="1:14">
      <c r="A6" s="101" t="s">
        <v>49</v>
      </c>
      <c r="B6" s="54">
        <f>B5/B4</f>
        <v>22.351847235327988</v>
      </c>
      <c r="C6" s="54">
        <f t="shared" ref="C6:K6" si="0">C5/C4</f>
        <v>23.900497114163429</v>
      </c>
      <c r="D6" s="54">
        <f t="shared" si="0"/>
        <v>25.952559690372187</v>
      </c>
      <c r="E6" s="54">
        <f t="shared" si="0"/>
        <v>38.97193132447201</v>
      </c>
      <c r="F6" s="54">
        <f t="shared" si="0"/>
        <v>33.175826491121896</v>
      </c>
      <c r="G6" s="54">
        <f t="shared" si="0"/>
        <v>30.849608769734669</v>
      </c>
      <c r="H6" s="54">
        <f t="shared" si="0"/>
        <v>30.475216332193806</v>
      </c>
      <c r="I6" s="54">
        <f t="shared" si="0"/>
        <v>29.213038815159653</v>
      </c>
      <c r="J6" s="54">
        <f t="shared" si="0"/>
        <v>34.318814719771368</v>
      </c>
      <c r="K6" s="102">
        <f t="shared" si="0"/>
        <v>36.49633455018057</v>
      </c>
    </row>
    <row r="7" spans="1:14">
      <c r="A7" s="191" t="s">
        <v>48</v>
      </c>
      <c r="B7" s="178">
        <v>221</v>
      </c>
      <c r="C7" s="178">
        <v>225</v>
      </c>
      <c r="D7" s="178">
        <v>327</v>
      </c>
      <c r="E7" s="178">
        <v>449</v>
      </c>
      <c r="F7" s="178">
        <v>683</v>
      </c>
      <c r="G7" s="178">
        <v>1043</v>
      </c>
      <c r="H7" s="178">
        <v>715</v>
      </c>
      <c r="I7" s="178">
        <v>1640</v>
      </c>
      <c r="J7" s="178">
        <v>2040</v>
      </c>
      <c r="K7" s="179">
        <v>2802</v>
      </c>
      <c r="L7" s="24"/>
    </row>
    <row r="8" spans="1:14">
      <c r="A8" s="101" t="s">
        <v>50</v>
      </c>
      <c r="B8" s="54">
        <f>B7/B4</f>
        <v>15.24616740434409</v>
      </c>
      <c r="C8" s="54">
        <f t="shared" ref="C8:K8" si="1">C7/C4</f>
        <v>14.896431719353938</v>
      </c>
      <c r="D8" s="54">
        <f t="shared" si="1"/>
        <v>18.01801914809279</v>
      </c>
      <c r="E8" s="54">
        <f t="shared" si="1"/>
        <v>20.299764692213376</v>
      </c>
      <c r="F8" s="54">
        <f t="shared" si="1"/>
        <v>23.311820466498204</v>
      </c>
      <c r="G8" s="54">
        <f t="shared" si="1"/>
        <v>24.449955886651413</v>
      </c>
      <c r="H8" s="54">
        <f t="shared" si="1"/>
        <v>17.238749744872287</v>
      </c>
      <c r="I8" s="54">
        <f t="shared" si="1"/>
        <v>18.824905169690307</v>
      </c>
      <c r="J8" s="54">
        <f t="shared" si="1"/>
        <v>23.205297324605102</v>
      </c>
      <c r="K8" s="102">
        <f t="shared" si="1"/>
        <v>27.183075334823485</v>
      </c>
    </row>
    <row r="9" spans="1:14" ht="15.75" thickBot="1">
      <c r="A9" s="104" t="s">
        <v>51</v>
      </c>
      <c r="B9" s="105">
        <f>(B6+B8)/2</f>
        <v>18.79900731983604</v>
      </c>
      <c r="C9" s="105">
        <f t="shared" ref="C9:K9" si="2">(C6+C8)/2</f>
        <v>19.398464416758685</v>
      </c>
      <c r="D9" s="105">
        <f t="shared" si="2"/>
        <v>21.985289419232487</v>
      </c>
      <c r="E9" s="105">
        <f t="shared" si="2"/>
        <v>29.635848008342691</v>
      </c>
      <c r="F9" s="105">
        <f t="shared" si="2"/>
        <v>28.24382347881005</v>
      </c>
      <c r="G9" s="105">
        <f t="shared" si="2"/>
        <v>27.649782328193041</v>
      </c>
      <c r="H9" s="105">
        <f t="shared" si="2"/>
        <v>23.856983038533045</v>
      </c>
      <c r="I9" s="105">
        <f t="shared" si="2"/>
        <v>24.01897199242498</v>
      </c>
      <c r="J9" s="105">
        <f t="shared" si="2"/>
        <v>28.762056022188233</v>
      </c>
      <c r="K9" s="106">
        <f t="shared" si="2"/>
        <v>31.839704942502028</v>
      </c>
    </row>
    <row r="10" spans="1:14" ht="15.75" thickBot="1">
      <c r="A10" s="25"/>
      <c r="B10" s="25"/>
      <c r="C10" s="25"/>
      <c r="D10" s="26"/>
      <c r="E10" s="26"/>
      <c r="F10" s="26"/>
      <c r="G10" s="26"/>
      <c r="H10" s="26"/>
      <c r="I10" s="26"/>
      <c r="J10" s="26"/>
      <c r="K10" s="26"/>
      <c r="L10" s="26"/>
      <c r="M10" s="26"/>
    </row>
    <row r="11" spans="1:14" ht="19.5" customHeight="1">
      <c r="A11" s="285" t="s">
        <v>52</v>
      </c>
      <c r="B11" s="286"/>
      <c r="F11" s="218" t="s">
        <v>264</v>
      </c>
      <c r="G11" s="219"/>
      <c r="H11" s="219"/>
      <c r="I11" s="219"/>
      <c r="J11" s="219"/>
      <c r="K11" s="219"/>
      <c r="L11" s="219"/>
      <c r="M11" s="220"/>
    </row>
    <row r="12" spans="1:14" ht="15.75" customHeight="1">
      <c r="A12" s="95" t="s">
        <v>22</v>
      </c>
      <c r="B12" s="96">
        <f>SQRT(22.5*Ratios!K5*AVERAGE(I4:K4))</f>
        <v>773.09257332425989</v>
      </c>
      <c r="D12" s="2"/>
      <c r="F12" s="221"/>
      <c r="G12" s="222"/>
      <c r="H12" s="222"/>
      <c r="I12" s="222"/>
      <c r="J12" s="222"/>
      <c r="K12" s="222"/>
      <c r="L12" s="222"/>
      <c r="M12" s="223"/>
    </row>
    <row r="13" spans="1:14" ht="15.75" customHeight="1">
      <c r="A13" s="95" t="s">
        <v>8</v>
      </c>
      <c r="B13" s="88">
        <f>AVERAGE(B9:K9)*AVERAGE(I4:K4)</f>
        <v>2356.4121630791833</v>
      </c>
      <c r="D13" s="2"/>
      <c r="F13" s="221"/>
      <c r="G13" s="222"/>
      <c r="H13" s="222"/>
      <c r="I13" s="222"/>
      <c r="J13" s="222"/>
      <c r="K13" s="222"/>
      <c r="L13" s="222"/>
      <c r="M13" s="223"/>
    </row>
    <row r="14" spans="1:14" ht="19.5" customHeight="1">
      <c r="A14" s="95" t="s">
        <v>9</v>
      </c>
      <c r="B14" s="88">
        <f>(K4*1/DCF!B9)</f>
        <v>858.99037222204811</v>
      </c>
      <c r="D14" s="2"/>
      <c r="F14" s="221"/>
      <c r="G14" s="222"/>
      <c r="H14" s="222"/>
      <c r="I14" s="222"/>
      <c r="J14" s="222"/>
      <c r="K14" s="222"/>
      <c r="L14" s="222"/>
      <c r="M14" s="223"/>
    </row>
    <row r="15" spans="1:14" ht="15.75" customHeight="1">
      <c r="A15" s="95" t="s">
        <v>5</v>
      </c>
      <c r="B15" s="88">
        <f>DCF!B33</f>
        <v>1208.613906664375</v>
      </c>
      <c r="D15" s="2"/>
      <c r="F15" s="221"/>
      <c r="G15" s="222"/>
      <c r="H15" s="222"/>
      <c r="I15" s="222"/>
      <c r="J15" s="222"/>
      <c r="K15" s="222"/>
      <c r="L15" s="222"/>
      <c r="M15" s="223"/>
    </row>
    <row r="16" spans="1:14" ht="15.75" customHeight="1">
      <c r="A16" s="95" t="s">
        <v>203</v>
      </c>
      <c r="B16" s="88">
        <f>'Buffett Valuation'!E42/((1+DCF!B9)^10)</f>
        <v>7460.1126209087579</v>
      </c>
      <c r="C16" s="25"/>
      <c r="F16" s="221"/>
      <c r="G16" s="222"/>
      <c r="H16" s="222"/>
      <c r="I16" s="222"/>
      <c r="J16" s="222"/>
      <c r="K16" s="222"/>
      <c r="L16" s="222"/>
      <c r="M16" s="223"/>
    </row>
    <row r="17" spans="1:13" ht="16.5" customHeight="1" thickBot="1">
      <c r="A17" s="93" t="s">
        <v>204</v>
      </c>
      <c r="B17" s="97">
        <f>'Buffett Valuation'!E56/((1+DCF!B9)^10)</f>
        <v>4952.7539433529655</v>
      </c>
      <c r="C17" s="25"/>
      <c r="F17" s="221"/>
      <c r="G17" s="222"/>
      <c r="H17" s="222"/>
      <c r="I17" s="222"/>
      <c r="J17" s="222"/>
      <c r="K17" s="222"/>
      <c r="L17" s="222"/>
      <c r="M17" s="223"/>
    </row>
    <row r="18" spans="1:13" ht="16.5" customHeight="1" thickBot="1">
      <c r="A18" s="25"/>
      <c r="B18" s="25"/>
      <c r="C18" s="25"/>
      <c r="F18" s="221"/>
      <c r="G18" s="222"/>
      <c r="H18" s="222"/>
      <c r="I18" s="222"/>
      <c r="J18" s="222"/>
      <c r="K18" s="222"/>
      <c r="L18" s="222"/>
      <c r="M18" s="223"/>
    </row>
    <row r="19" spans="1:13" ht="15.75" customHeight="1">
      <c r="A19" s="285" t="s">
        <v>30</v>
      </c>
      <c r="B19" s="286"/>
      <c r="F19" s="221"/>
      <c r="G19" s="222"/>
      <c r="H19" s="222"/>
      <c r="I19" s="222"/>
      <c r="J19" s="222"/>
      <c r="K19" s="222"/>
      <c r="L19" s="222"/>
      <c r="M19" s="223"/>
    </row>
    <row r="20" spans="1:13" ht="15.75" customHeight="1">
      <c r="A20" s="87" t="s">
        <v>6</v>
      </c>
      <c r="B20" s="88">
        <f>AVERAGE(B12:B17)</f>
        <v>2934.9959299252646</v>
      </c>
      <c r="C20" s="27"/>
      <c r="D20" s="6"/>
      <c r="E20" s="28"/>
      <c r="F20" s="221"/>
      <c r="G20" s="222"/>
      <c r="H20" s="222"/>
      <c r="I20" s="222"/>
      <c r="J20" s="222"/>
      <c r="K20" s="222"/>
      <c r="L20" s="222"/>
      <c r="M20" s="223"/>
    </row>
    <row r="21" spans="1:13" ht="15.75" customHeight="1">
      <c r="A21" s="87" t="s">
        <v>7</v>
      </c>
      <c r="B21" s="88">
        <f>AVERAGE(B12:B17)-(0.5)*(STDEV(B12,B13,B14,B15,B16,B17))</f>
        <v>1577.6675294973761</v>
      </c>
      <c r="C21" s="2"/>
      <c r="D21" s="6"/>
      <c r="F21" s="221"/>
      <c r="G21" s="222"/>
      <c r="H21" s="222"/>
      <c r="I21" s="222"/>
      <c r="J21" s="222"/>
      <c r="K21" s="222"/>
      <c r="L21" s="222"/>
      <c r="M21" s="223"/>
    </row>
    <row r="22" spans="1:13" ht="15.75">
      <c r="A22" s="180" t="s">
        <v>31</v>
      </c>
      <c r="B22" s="213">
        <v>0.5</v>
      </c>
      <c r="F22" s="221"/>
      <c r="G22" s="222"/>
      <c r="H22" s="222"/>
      <c r="I22" s="222"/>
      <c r="J22" s="222"/>
      <c r="K22" s="222"/>
      <c r="L22" s="222"/>
      <c r="M22" s="223"/>
    </row>
    <row r="23" spans="1:13" ht="15.75">
      <c r="A23" s="90" t="s">
        <v>29</v>
      </c>
      <c r="B23" s="91">
        <f>((B20+B21)/2)*(1-B22)</f>
        <v>1128.1658648556602</v>
      </c>
      <c r="F23" s="221"/>
      <c r="G23" s="222"/>
      <c r="H23" s="222"/>
      <c r="I23" s="222"/>
      <c r="J23" s="222"/>
      <c r="K23" s="222"/>
      <c r="L23" s="222"/>
      <c r="M23" s="223"/>
    </row>
    <row r="24" spans="1:13" ht="15.75">
      <c r="A24" s="89" t="s">
        <v>32</v>
      </c>
      <c r="B24" s="92">
        <f>'First Page'!B13</f>
        <v>4665</v>
      </c>
      <c r="C24" s="27"/>
      <c r="F24" s="221"/>
      <c r="G24" s="222"/>
      <c r="H24" s="222"/>
      <c r="I24" s="222"/>
      <c r="J24" s="222"/>
      <c r="K24" s="222"/>
      <c r="L24" s="222"/>
      <c r="M24" s="223"/>
    </row>
    <row r="25" spans="1:13" ht="16.5" thickBot="1">
      <c r="A25" s="93" t="s">
        <v>33</v>
      </c>
      <c r="B25" s="94">
        <f>B24/B23-1</f>
        <v>3.1350302693273298</v>
      </c>
      <c r="F25" s="224"/>
      <c r="G25" s="225"/>
      <c r="H25" s="225"/>
      <c r="I25" s="225"/>
      <c r="J25" s="225"/>
      <c r="K25" s="225"/>
      <c r="L25" s="225"/>
      <c r="M25" s="226"/>
    </row>
    <row r="27" spans="1:13">
      <c r="B27" s="41"/>
      <c r="C27" s="41"/>
      <c r="D27" s="41"/>
      <c r="E27" s="41"/>
      <c r="F27" s="41"/>
      <c r="G27" s="41"/>
      <c r="H27" s="41"/>
      <c r="I27" s="41"/>
      <c r="J27" s="41"/>
    </row>
  </sheetData>
  <mergeCells count="5">
    <mergeCell ref="A19:B19"/>
    <mergeCell ref="A11:B11"/>
    <mergeCell ref="A1:K1"/>
    <mergeCell ref="A2:K2"/>
    <mergeCell ref="F11:M2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First Page</vt:lpstr>
      <vt:lpstr>Checklist</vt:lpstr>
      <vt:lpstr>Balance Sheet</vt:lpstr>
      <vt:lpstr>P &amp; L Account</vt:lpstr>
      <vt:lpstr>Cash Flow</vt:lpstr>
      <vt:lpstr>Ratios</vt:lpstr>
      <vt:lpstr>DCF</vt:lpstr>
      <vt:lpstr>Buffett Valuation</vt:lpstr>
      <vt:lpstr>Fair Value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Vishal</dc:creator>
  <cp:lastModifiedBy>Safal Niveshak</cp:lastModifiedBy>
  <dcterms:created xsi:type="dcterms:W3CDTF">2011-11-07T17:28:41Z</dcterms:created>
  <dcterms:modified xsi:type="dcterms:W3CDTF">2013-03-11T02:33:34Z</dcterms:modified>
</cp:coreProperties>
</file>